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TELETRABAJO\Presup2026\"/>
    </mc:Choice>
  </mc:AlternateContent>
  <bookViews>
    <workbookView xWindow="0" yWindow="0" windowWidth="20490" windowHeight="7065" tabRatio="875"/>
  </bookViews>
  <sheets>
    <sheet name="RESUMEN" sheetId="18" r:id="rId1"/>
    <sheet name="RECAUDACION ING" sheetId="8" r:id="rId2"/>
    <sheet name="INGRESOS" sheetId="9" r:id="rId3"/>
    <sheet name="FINANCIAMIENTO" sheetId="63" r:id="rId4"/>
    <sheet name="FLUJO" sheetId="11" r:id="rId5"/>
    <sheet name="BALANCE" sheetId="12" r:id="rId6"/>
    <sheet name="FUNCIONAMIENTO" sheetId="24" r:id="rId7"/>
    <sheet name="CTAS. FUNC." sheetId="26" r:id="rId8"/>
    <sheet name="EST. PROG." sheetId="15" r:id="rId9"/>
    <sheet name="PROYECTOS" sheetId="60" r:id="rId10"/>
  </sheets>
  <externalReferences>
    <externalReference r:id="rId11"/>
    <externalReference r:id="rId12"/>
  </externalReferences>
  <definedNames>
    <definedName name="a">"$#REF!.$CP$1"</definedName>
    <definedName name="_xlnm.Print_Area" localSheetId="5">BALANCE!$A$6:$L$51</definedName>
    <definedName name="_xlnm.Print_Area" localSheetId="7">'CTAS. FUNC.'!$A$1:$M$59</definedName>
    <definedName name="_xlnm.Print_Area" localSheetId="8">'EST. PROG.'!$A$3:$M$32</definedName>
    <definedName name="_xlnm.Print_Area" localSheetId="3">FINANCIAMIENTO!$A$1:$I$35</definedName>
    <definedName name="_xlnm.Print_Area" localSheetId="4">FLUJO!$A$3:$J$54</definedName>
    <definedName name="_xlnm.Print_Area" localSheetId="2">INGRESOS!$A$1:$J$33</definedName>
    <definedName name="_xlnm.Print_Area" localSheetId="9">PROYECTOS!$A$8:$M$44</definedName>
    <definedName name="Excel_BuiltIn_Print_Area_12_1">"$#REF!.$A$1:$L$197"</definedName>
    <definedName name="Excel_BuiltIn_Print_Area_12_1_1">"$#REF!.$B$10:$L$205"</definedName>
    <definedName name="Excel_BuiltIn_Print_Area_12_1_1_1">"$#REF!.$B$10:$L$206"</definedName>
    <definedName name="Excel_BuiltIn_Print_Area_7">'RECAUDACION ING'!$B$3:$J$47</definedName>
    <definedName name="Excel_BuiltIn_Print_Area_7_1">'RECAUDACION ING'!$B$3:$J$41</definedName>
    <definedName name="Excel_BuiltIn_Print_Area_7_1_1">'RECAUDACION ING'!$B$3:$J$47</definedName>
    <definedName name="Excel_BuiltIn_Print_Area_8_1">[1]INGRESOS!$A$6:$I$39</definedName>
    <definedName name="Excel_BuiltIn_Print_Area_8_1_1">[1]INGRESOS!$A$6:$I$40</definedName>
    <definedName name="Excel_BuiltIn_Print_Area_9_1">FINANCIAMIENTO!$A$4:$I$36</definedName>
    <definedName name="Excel_BuiltIn_Print_Titles_11">BALANCE!$4:$5</definedName>
    <definedName name="Excel_BuiltIn_Print_Titles_12_1">"$#REF!.$A$1:$B$65535;$#REF!.$A$1:$IV$7"</definedName>
    <definedName name="Excel_BuiltIn_Print_Titles_7">'RECAUDACION ING'!$3:$4</definedName>
    <definedName name="Excel_BuiltIn_Print_Titles_7_1">"$cuadro_A_1.$#REF!$#REF!:$#REF!$#REF!"</definedName>
    <definedName name="Excel_BuiltIn_Print_Titles_8_1">[1]INGRESOS!$A$1:$IV$5</definedName>
    <definedName name="_xlnm.Print_Titles" localSheetId="5">BALANCE!$1:$5</definedName>
    <definedName name="_xlnm.Print_Titles" localSheetId="6">FUNCIONAMIENTO!$4:$10</definedName>
    <definedName name="_xlnm.Print_Titles" localSheetId="9">PROYECTOS!$1:$7</definedName>
    <definedName name="_xlnm.Print_Titles" localSheetId="1">'RECAUDACION ING'!$1:$4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8" l="1"/>
  <c r="H13" i="8"/>
  <c r="H21" i="8"/>
  <c r="K21" i="8"/>
  <c r="K24" i="9"/>
  <c r="K26" i="9"/>
  <c r="H11" i="9" l="1"/>
  <c r="H25" i="8" l="1"/>
  <c r="M13" i="8"/>
  <c r="H17" i="8"/>
  <c r="C9" i="8"/>
  <c r="F9" i="8"/>
  <c r="C9" i="9"/>
  <c r="E9" i="8"/>
  <c r="L18" i="8" l="1"/>
  <c r="K9" i="8"/>
  <c r="K22" i="9"/>
  <c r="O9" i="15"/>
  <c r="H9" i="15"/>
  <c r="O21" i="15"/>
  <c r="O29" i="15"/>
  <c r="O27" i="15"/>
  <c r="O25" i="15"/>
  <c r="O23" i="15"/>
  <c r="O11" i="15" l="1"/>
  <c r="O17" i="15"/>
  <c r="H29" i="15"/>
  <c r="H28" i="15"/>
  <c r="H27" i="15"/>
  <c r="P27" i="15" s="1"/>
  <c r="H26" i="15"/>
  <c r="H25" i="15"/>
  <c r="P25" i="15" s="1"/>
  <c r="H24" i="15"/>
  <c r="H23" i="15"/>
  <c r="P23" i="15" s="1"/>
  <c r="H22" i="15"/>
  <c r="H20" i="15"/>
  <c r="H19" i="15"/>
  <c r="H17" i="15"/>
  <c r="P17" i="15" s="1"/>
  <c r="H16" i="15"/>
  <c r="H15" i="15"/>
  <c r="H14" i="15"/>
  <c r="H13" i="15"/>
  <c r="H12" i="15"/>
  <c r="H11" i="15"/>
  <c r="E21" i="15"/>
  <c r="F39" i="8"/>
  <c r="F32" i="8"/>
  <c r="F28" i="8"/>
  <c r="F27" i="8"/>
  <c r="F25" i="8"/>
  <c r="F19" i="8"/>
  <c r="F18" i="8"/>
  <c r="F26" i="9" l="1"/>
  <c r="F28" i="9"/>
  <c r="F27" i="9"/>
  <c r="G9" i="8"/>
  <c r="G28" i="8"/>
  <c r="J168" i="24"/>
  <c r="K168" i="24"/>
  <c r="P91" i="24"/>
  <c r="P92" i="24"/>
  <c r="P93" i="24"/>
  <c r="P36" i="24"/>
  <c r="P61" i="24"/>
  <c r="P57" i="24"/>
  <c r="P62" i="24"/>
  <c r="P59" i="24"/>
  <c r="P58" i="24"/>
  <c r="F154" i="24"/>
  <c r="G154" i="24"/>
  <c r="H154" i="24"/>
  <c r="F157" i="24"/>
  <c r="G157" i="24"/>
  <c r="G159" i="24"/>
  <c r="H159" i="24"/>
  <c r="F159" i="24"/>
  <c r="D16" i="60" l="1"/>
  <c r="D33" i="60"/>
  <c r="D8" i="60"/>
  <c r="D13" i="15"/>
  <c r="D23" i="15"/>
  <c r="D25" i="15"/>
  <c r="D29" i="15"/>
  <c r="D27" i="15"/>
  <c r="D17" i="15"/>
  <c r="C36" i="12"/>
  <c r="C9" i="12"/>
  <c r="C39" i="12"/>
  <c r="C11" i="12"/>
  <c r="C13" i="12"/>
  <c r="D40" i="26"/>
  <c r="T38" i="26"/>
  <c r="D39" i="26"/>
  <c r="D35" i="26"/>
  <c r="D30" i="26"/>
  <c r="D29" i="26"/>
  <c r="E141" i="24"/>
  <c r="E125" i="24"/>
  <c r="E117" i="24"/>
  <c r="E111" i="24"/>
  <c r="E107" i="24"/>
  <c r="E95" i="24"/>
  <c r="E92" i="24"/>
  <c r="E75" i="24"/>
  <c r="E72" i="24"/>
  <c r="E66" i="24"/>
  <c r="E61" i="24"/>
  <c r="E57" i="24"/>
  <c r="E54" i="24"/>
  <c r="C21" i="11"/>
  <c r="C25" i="11"/>
  <c r="C26" i="11"/>
  <c r="C12" i="11"/>
  <c r="C15" i="11"/>
  <c r="C18" i="11"/>
  <c r="C26" i="63"/>
  <c r="C30" i="63"/>
  <c r="D9" i="9"/>
  <c r="D22" i="9"/>
  <c r="D30" i="9"/>
  <c r="D11" i="9"/>
  <c r="D15" i="9"/>
  <c r="D11" i="8"/>
  <c r="D13" i="8"/>
  <c r="D26" i="8"/>
  <c r="D38" i="8"/>
  <c r="D37" i="8" s="1"/>
  <c r="D36" i="8" s="1"/>
  <c r="D34" i="8" s="1"/>
  <c r="D9" i="8" s="1"/>
  <c r="D39" i="8"/>
  <c r="D28" i="8"/>
  <c r="I16" i="60"/>
  <c r="I8" i="60"/>
  <c r="M13" i="60"/>
  <c r="M12" i="60"/>
  <c r="D12" i="18"/>
  <c r="D21" i="26" l="1"/>
  <c r="E91" i="24"/>
  <c r="D33" i="26"/>
  <c r="D56" i="26" s="1"/>
  <c r="D42" i="60"/>
  <c r="D46" i="60" s="1"/>
  <c r="D21" i="15"/>
  <c r="D11" i="15"/>
  <c r="E36" i="24"/>
  <c r="F43" i="8"/>
  <c r="F29" i="8"/>
  <c r="D9" i="15" l="1"/>
  <c r="E178" i="24"/>
  <c r="C8" i="60"/>
  <c r="I33" i="60" l="1"/>
  <c r="I42" i="60" s="1"/>
  <c r="J8" i="60"/>
  <c r="H35" i="60"/>
  <c r="H36" i="60"/>
  <c r="H37" i="60"/>
  <c r="H39" i="60"/>
  <c r="H40" i="60"/>
  <c r="H41" i="60"/>
  <c r="H34" i="60"/>
  <c r="H18" i="60"/>
  <c r="M18" i="60" s="1"/>
  <c r="H19" i="60"/>
  <c r="H20" i="60"/>
  <c r="H21" i="60"/>
  <c r="H22" i="60"/>
  <c r="H23" i="60"/>
  <c r="H24" i="60"/>
  <c r="H25" i="60"/>
  <c r="H26" i="60"/>
  <c r="H27" i="60"/>
  <c r="H28" i="60"/>
  <c r="H29" i="60"/>
  <c r="H30" i="60"/>
  <c r="H17" i="60"/>
  <c r="H15" i="60"/>
  <c r="H10" i="60"/>
  <c r="H9" i="60"/>
  <c r="N8" i="60"/>
  <c r="N17" i="60"/>
  <c r="N16" i="60" s="1"/>
  <c r="N33" i="60"/>
  <c r="Q29" i="15"/>
  <c r="D141" i="24"/>
  <c r="D125" i="24"/>
  <c r="D117" i="24"/>
  <c r="D111" i="24"/>
  <c r="D107" i="24"/>
  <c r="D95" i="24"/>
  <c r="D92" i="24"/>
  <c r="D75" i="24"/>
  <c r="D72" i="24"/>
  <c r="D66" i="24"/>
  <c r="D61" i="24"/>
  <c r="D57" i="24"/>
  <c r="D54" i="24"/>
  <c r="S91" i="24"/>
  <c r="I140" i="24"/>
  <c r="K117" i="24"/>
  <c r="G117" i="24"/>
  <c r="I102" i="24"/>
  <c r="S102" i="24"/>
  <c r="H95" i="24"/>
  <c r="H92" i="24"/>
  <c r="H82" i="24"/>
  <c r="S62" i="24"/>
  <c r="I60" i="24"/>
  <c r="I58" i="24"/>
  <c r="K37" i="24"/>
  <c r="H37" i="24"/>
  <c r="S22" i="24"/>
  <c r="I19" i="24"/>
  <c r="D91" i="24" l="1"/>
  <c r="D36" i="24"/>
  <c r="D178" i="24" s="1"/>
  <c r="E30" i="63"/>
  <c r="E15" i="63"/>
  <c r="E14" i="63"/>
  <c r="E13" i="63"/>
  <c r="E12" i="63"/>
  <c r="E10" i="63"/>
  <c r="B10" i="63"/>
  <c r="M41" i="60" l="1"/>
  <c r="M40" i="60"/>
  <c r="K36" i="60"/>
  <c r="M35" i="60"/>
  <c r="J33" i="60"/>
  <c r="I43" i="12" s="1"/>
  <c r="G33" i="60"/>
  <c r="F43" i="12" s="1"/>
  <c r="F33" i="60"/>
  <c r="E43" i="12" s="1"/>
  <c r="E33" i="60"/>
  <c r="D30" i="18" s="1"/>
  <c r="B33" i="60"/>
  <c r="B43" i="12" s="1"/>
  <c r="K30" i="60"/>
  <c r="M29" i="60"/>
  <c r="M28" i="60"/>
  <c r="M27" i="60"/>
  <c r="M26" i="60"/>
  <c r="L25" i="60"/>
  <c r="K24" i="60"/>
  <c r="K22" i="60"/>
  <c r="M22" i="60"/>
  <c r="M21" i="60"/>
  <c r="K20" i="60"/>
  <c r="M19" i="60"/>
  <c r="K18" i="60"/>
  <c r="J16" i="60"/>
  <c r="G16" i="60"/>
  <c r="F42" i="12" s="1"/>
  <c r="F16" i="60"/>
  <c r="E42" i="12" s="1"/>
  <c r="E16" i="60"/>
  <c r="D42" i="12" s="1"/>
  <c r="B16" i="60"/>
  <c r="B42" i="12" s="1"/>
  <c r="M15" i="60"/>
  <c r="H14" i="60"/>
  <c r="H8" i="60" s="1"/>
  <c r="K13" i="60"/>
  <c r="K12" i="60"/>
  <c r="M10" i="60"/>
  <c r="M9" i="60"/>
  <c r="B9" i="60"/>
  <c r="G8" i="60"/>
  <c r="F8" i="60"/>
  <c r="E41" i="12" s="1"/>
  <c r="E8" i="60"/>
  <c r="D26" i="18" s="1"/>
  <c r="B8" i="60"/>
  <c r="B26" i="18" s="1"/>
  <c r="K28" i="15"/>
  <c r="L26" i="15"/>
  <c r="K22" i="15"/>
  <c r="J21" i="15"/>
  <c r="I21" i="15"/>
  <c r="G21" i="15"/>
  <c r="H21" i="15" s="1"/>
  <c r="F21" i="15"/>
  <c r="D21" i="18"/>
  <c r="C21" i="15"/>
  <c r="K20" i="15"/>
  <c r="K19" i="15"/>
  <c r="L19" i="15"/>
  <c r="K16" i="15"/>
  <c r="J11" i="15"/>
  <c r="I11" i="15"/>
  <c r="G11" i="15"/>
  <c r="F11" i="15"/>
  <c r="E11" i="15"/>
  <c r="C11" i="15"/>
  <c r="I55" i="26"/>
  <c r="G55" i="26"/>
  <c r="J53" i="26"/>
  <c r="H53" i="26"/>
  <c r="G53" i="26"/>
  <c r="F53" i="26"/>
  <c r="E53" i="26"/>
  <c r="C53" i="26"/>
  <c r="G50" i="26"/>
  <c r="F50" i="26"/>
  <c r="I47" i="26"/>
  <c r="I46" i="26"/>
  <c r="I45" i="26" s="1"/>
  <c r="E46" i="26"/>
  <c r="C46" i="26"/>
  <c r="C45" i="26" s="1"/>
  <c r="J42" i="26"/>
  <c r="I42" i="26"/>
  <c r="H42" i="26"/>
  <c r="G42" i="26"/>
  <c r="F42" i="26"/>
  <c r="E42" i="26"/>
  <c r="C42" i="26"/>
  <c r="G35" i="26"/>
  <c r="G34" i="26"/>
  <c r="G25" i="26"/>
  <c r="J24" i="26"/>
  <c r="I24" i="26"/>
  <c r="G24" i="26"/>
  <c r="F24" i="26"/>
  <c r="C24" i="26"/>
  <c r="G22" i="26"/>
  <c r="C19" i="26"/>
  <c r="M18" i="26"/>
  <c r="I18" i="26"/>
  <c r="G18" i="26"/>
  <c r="F18" i="26"/>
  <c r="J16" i="26"/>
  <c r="I16" i="26"/>
  <c r="G16" i="26"/>
  <c r="F16" i="26"/>
  <c r="E16" i="26"/>
  <c r="C16" i="26"/>
  <c r="J15" i="26"/>
  <c r="I15" i="26"/>
  <c r="G15" i="26"/>
  <c r="F15" i="26"/>
  <c r="C15" i="26"/>
  <c r="J13" i="26"/>
  <c r="I13" i="26"/>
  <c r="G13" i="26"/>
  <c r="F13" i="26"/>
  <c r="E13" i="26"/>
  <c r="C13" i="26"/>
  <c r="J12" i="26"/>
  <c r="I12" i="26"/>
  <c r="G12" i="26"/>
  <c r="F12" i="26"/>
  <c r="E12" i="26"/>
  <c r="C12" i="26"/>
  <c r="J11" i="26"/>
  <c r="I11" i="26"/>
  <c r="G11" i="26"/>
  <c r="F11" i="26"/>
  <c r="E11" i="26"/>
  <c r="C11" i="26"/>
  <c r="I177" i="24"/>
  <c r="N177" i="24" s="1"/>
  <c r="F177" i="24"/>
  <c r="I175" i="24"/>
  <c r="M175" i="24" s="1"/>
  <c r="K174" i="24"/>
  <c r="J55" i="26" s="1"/>
  <c r="I174" i="24"/>
  <c r="G174" i="24"/>
  <c r="F55" i="26" s="1"/>
  <c r="C174" i="24"/>
  <c r="C55" i="26" s="1"/>
  <c r="I173" i="24"/>
  <c r="N173" i="24" s="1"/>
  <c r="N172" i="24"/>
  <c r="M172" i="24"/>
  <c r="N171" i="24"/>
  <c r="M171" i="24"/>
  <c r="L171" i="24"/>
  <c r="K170" i="24"/>
  <c r="J170" i="24"/>
  <c r="I54" i="26" s="1"/>
  <c r="H170" i="24"/>
  <c r="G54" i="26" s="1"/>
  <c r="G170" i="24"/>
  <c r="F54" i="26" s="1"/>
  <c r="F170" i="24"/>
  <c r="E54" i="26" s="1"/>
  <c r="C170" i="24"/>
  <c r="B32" i="12" s="1"/>
  <c r="M168" i="24"/>
  <c r="L168" i="24"/>
  <c r="I168" i="24"/>
  <c r="H168" i="24"/>
  <c r="G168" i="24"/>
  <c r="F168" i="24"/>
  <c r="C168" i="24"/>
  <c r="I166" i="24"/>
  <c r="N166" i="24" s="1"/>
  <c r="I165" i="24"/>
  <c r="M165" i="24" s="1"/>
  <c r="K164" i="24"/>
  <c r="J52" i="26" s="1"/>
  <c r="J164" i="24"/>
  <c r="I52" i="26" s="1"/>
  <c r="H164" i="24"/>
  <c r="G164" i="24"/>
  <c r="F164" i="24"/>
  <c r="C164" i="24"/>
  <c r="C52" i="26" s="1"/>
  <c r="I163" i="24"/>
  <c r="I162" i="24"/>
  <c r="I161" i="24"/>
  <c r="M161" i="24" s="1"/>
  <c r="I160" i="24"/>
  <c r="L160" i="24" s="1"/>
  <c r="E51" i="26"/>
  <c r="K159" i="24"/>
  <c r="J51" i="26" s="1"/>
  <c r="G51" i="26"/>
  <c r="C159" i="24"/>
  <c r="C51" i="26" s="1"/>
  <c r="I158" i="24"/>
  <c r="L158" i="24" s="1"/>
  <c r="K157" i="24"/>
  <c r="J157" i="24"/>
  <c r="I50" i="26" s="1"/>
  <c r="C157" i="24"/>
  <c r="C50" i="26" s="1"/>
  <c r="I155" i="24"/>
  <c r="L155" i="24" s="1"/>
  <c r="K154" i="24"/>
  <c r="J47" i="26" s="1"/>
  <c r="G47" i="26"/>
  <c r="F151" i="24"/>
  <c r="C154" i="24"/>
  <c r="I153" i="24"/>
  <c r="M153" i="24" s="1"/>
  <c r="K152" i="24"/>
  <c r="J152" i="24"/>
  <c r="J151" i="24" s="1"/>
  <c r="H152" i="24"/>
  <c r="I152" i="24" s="1"/>
  <c r="G152" i="24"/>
  <c r="F46" i="26" s="1"/>
  <c r="C152" i="24"/>
  <c r="C151" i="24" s="1"/>
  <c r="I150" i="24"/>
  <c r="M150" i="24" s="1"/>
  <c r="I149" i="24"/>
  <c r="M149" i="24" s="1"/>
  <c r="I148" i="24"/>
  <c r="N148" i="24" s="1"/>
  <c r="I147" i="24"/>
  <c r="I146" i="24"/>
  <c r="L146" i="24" s="1"/>
  <c r="I145" i="24"/>
  <c r="I144" i="24"/>
  <c r="M144" i="24" s="1"/>
  <c r="I143" i="24"/>
  <c r="N143" i="24" s="1"/>
  <c r="I142" i="24"/>
  <c r="K141" i="24"/>
  <c r="J43" i="26" s="1"/>
  <c r="J141" i="24"/>
  <c r="I43" i="26" s="1"/>
  <c r="H141" i="24"/>
  <c r="G43" i="26" s="1"/>
  <c r="G141" i="24"/>
  <c r="F43" i="26" s="1"/>
  <c r="C141" i="24"/>
  <c r="C43" i="26" s="1"/>
  <c r="N140" i="24"/>
  <c r="M140" i="24"/>
  <c r="L140" i="24"/>
  <c r="K42" i="26" s="1"/>
  <c r="I139" i="24"/>
  <c r="I138" i="24"/>
  <c r="L138" i="24" s="1"/>
  <c r="I137" i="24"/>
  <c r="N137" i="24" s="1"/>
  <c r="I136" i="24"/>
  <c r="L136" i="24" s="1"/>
  <c r="I135" i="24"/>
  <c r="L135" i="24" s="1"/>
  <c r="I134" i="24"/>
  <c r="L134" i="24" s="1"/>
  <c r="I133" i="24"/>
  <c r="N133" i="24" s="1"/>
  <c r="I132" i="24"/>
  <c r="N132" i="24" s="1"/>
  <c r="K131" i="24"/>
  <c r="J41" i="26" s="1"/>
  <c r="J131" i="24"/>
  <c r="I41" i="26" s="1"/>
  <c r="H131" i="24"/>
  <c r="I131" i="24" s="1"/>
  <c r="G131" i="24"/>
  <c r="F41" i="26" s="1"/>
  <c r="C131" i="24"/>
  <c r="C41" i="26" s="1"/>
  <c r="I130" i="24"/>
  <c r="I129" i="24"/>
  <c r="N129" i="24" s="1"/>
  <c r="I128" i="24"/>
  <c r="L128" i="24" s="1"/>
  <c r="I127" i="24"/>
  <c r="L127" i="24" s="1"/>
  <c r="I126" i="24"/>
  <c r="N126" i="24" s="1"/>
  <c r="K125" i="24"/>
  <c r="J40" i="26" s="1"/>
  <c r="J125" i="24"/>
  <c r="I40" i="26" s="1"/>
  <c r="H125" i="24"/>
  <c r="G40" i="26" s="1"/>
  <c r="G125" i="24"/>
  <c r="F40" i="26" s="1"/>
  <c r="C125" i="24"/>
  <c r="C40" i="26" s="1"/>
  <c r="I124" i="24"/>
  <c r="L124" i="24" s="1"/>
  <c r="I123" i="24"/>
  <c r="N123" i="24" s="1"/>
  <c r="I122" i="24"/>
  <c r="L122" i="24" s="1"/>
  <c r="I121" i="24"/>
  <c r="M121" i="24" s="1"/>
  <c r="I120" i="24"/>
  <c r="N120" i="24" s="1"/>
  <c r="I119" i="24"/>
  <c r="I118" i="24"/>
  <c r="L118" i="24" s="1"/>
  <c r="J39" i="26"/>
  <c r="J117" i="24"/>
  <c r="I39" i="26" s="1"/>
  <c r="H117" i="24"/>
  <c r="G39" i="26" s="1"/>
  <c r="F39" i="26"/>
  <c r="C117" i="24"/>
  <c r="C39" i="26" s="1"/>
  <c r="I116" i="24"/>
  <c r="I115" i="24"/>
  <c r="N115" i="24" s="1"/>
  <c r="I114" i="24"/>
  <c r="N114" i="24" s="1"/>
  <c r="I113" i="24"/>
  <c r="N113" i="24" s="1"/>
  <c r="I112" i="24"/>
  <c r="K111" i="24"/>
  <c r="J38" i="26" s="1"/>
  <c r="J111" i="24"/>
  <c r="I38" i="26" s="1"/>
  <c r="H111" i="24"/>
  <c r="G38" i="26" s="1"/>
  <c r="G111" i="24"/>
  <c r="F38" i="26" s="1"/>
  <c r="C111" i="24"/>
  <c r="C38" i="26" s="1"/>
  <c r="I110" i="24"/>
  <c r="N110" i="24" s="1"/>
  <c r="I109" i="24"/>
  <c r="L109" i="24" s="1"/>
  <c r="I108" i="24"/>
  <c r="L108" i="24" s="1"/>
  <c r="K107" i="24"/>
  <c r="J37" i="26" s="1"/>
  <c r="J107" i="24"/>
  <c r="I37" i="26" s="1"/>
  <c r="H107" i="24"/>
  <c r="G37" i="26" s="1"/>
  <c r="G107" i="24"/>
  <c r="F37" i="26" s="1"/>
  <c r="C107" i="24"/>
  <c r="C37" i="26" s="1"/>
  <c r="I106" i="24"/>
  <c r="I105" i="24"/>
  <c r="F101" i="24"/>
  <c r="E36" i="26" s="1"/>
  <c r="I104" i="24"/>
  <c r="L104" i="24" s="1"/>
  <c r="I103" i="24"/>
  <c r="N103" i="24" s="1"/>
  <c r="N102" i="24"/>
  <c r="K101" i="24"/>
  <c r="J36" i="26" s="1"/>
  <c r="J101" i="24"/>
  <c r="I36" i="26" s="1"/>
  <c r="H101" i="24"/>
  <c r="G36" i="26" s="1"/>
  <c r="G101" i="24"/>
  <c r="F36" i="26" s="1"/>
  <c r="C101" i="24"/>
  <c r="C36" i="26" s="1"/>
  <c r="I100" i="24"/>
  <c r="N100" i="24" s="1"/>
  <c r="I99" i="24"/>
  <c r="M99" i="24" s="1"/>
  <c r="I98" i="24"/>
  <c r="I97" i="24"/>
  <c r="N97" i="24" s="1"/>
  <c r="I96" i="24"/>
  <c r="N96" i="24" s="1"/>
  <c r="I95" i="24"/>
  <c r="K95" i="24"/>
  <c r="J35" i="26" s="1"/>
  <c r="J95" i="24"/>
  <c r="I35" i="26" s="1"/>
  <c r="G95" i="24"/>
  <c r="C95" i="24"/>
  <c r="C35" i="26" s="1"/>
  <c r="I94" i="24"/>
  <c r="L94" i="24" s="1"/>
  <c r="I93" i="24"/>
  <c r="N93" i="24" s="1"/>
  <c r="K92" i="24"/>
  <c r="J34" i="26" s="1"/>
  <c r="J92" i="24"/>
  <c r="I34" i="26" s="1"/>
  <c r="G92" i="24"/>
  <c r="F34" i="26" s="1"/>
  <c r="C92" i="24"/>
  <c r="I89" i="24"/>
  <c r="N89" i="24" s="1"/>
  <c r="I88" i="24"/>
  <c r="M88" i="24" s="1"/>
  <c r="I87" i="24"/>
  <c r="N87" i="24" s="1"/>
  <c r="I86" i="24"/>
  <c r="N86" i="24" s="1"/>
  <c r="I85" i="24"/>
  <c r="N85" i="24" s="1"/>
  <c r="I84" i="24"/>
  <c r="M84" i="24" s="1"/>
  <c r="I83" i="24"/>
  <c r="F83" i="24"/>
  <c r="K82" i="24"/>
  <c r="J31" i="26" s="1"/>
  <c r="J82" i="24"/>
  <c r="I31" i="26" s="1"/>
  <c r="I82" i="24"/>
  <c r="G31" i="26"/>
  <c r="G82" i="24"/>
  <c r="F31" i="26" s="1"/>
  <c r="C82" i="24"/>
  <c r="C31" i="26" s="1"/>
  <c r="I81" i="24"/>
  <c r="N81" i="24" s="1"/>
  <c r="I80" i="24"/>
  <c r="G75" i="24"/>
  <c r="F30" i="26" s="1"/>
  <c r="I79" i="24"/>
  <c r="N79" i="24" s="1"/>
  <c r="I78" i="24"/>
  <c r="N78" i="24" s="1"/>
  <c r="I77" i="24"/>
  <c r="L77" i="24" s="1"/>
  <c r="I76" i="24"/>
  <c r="L76" i="24" s="1"/>
  <c r="K75" i="24"/>
  <c r="J30" i="26" s="1"/>
  <c r="J75" i="24"/>
  <c r="I30" i="26" s="1"/>
  <c r="H75" i="24"/>
  <c r="I75" i="24" s="1"/>
  <c r="C75" i="24"/>
  <c r="C30" i="26" s="1"/>
  <c r="I74" i="24"/>
  <c r="N74" i="24" s="1"/>
  <c r="K72" i="24"/>
  <c r="J29" i="26" s="1"/>
  <c r="J72" i="24"/>
  <c r="I29" i="26" s="1"/>
  <c r="H72" i="24"/>
  <c r="G29" i="26" s="1"/>
  <c r="G72" i="24"/>
  <c r="F72" i="24"/>
  <c r="C72" i="24"/>
  <c r="C29" i="26" s="1"/>
  <c r="I71" i="24"/>
  <c r="M71" i="24" s="1"/>
  <c r="I70" i="24"/>
  <c r="I69" i="24"/>
  <c r="N69" i="24" s="1"/>
  <c r="I68" i="24"/>
  <c r="M68" i="24" s="1"/>
  <c r="K66" i="24"/>
  <c r="J28" i="26" s="1"/>
  <c r="J66" i="24"/>
  <c r="I28" i="26" s="1"/>
  <c r="H66" i="24"/>
  <c r="G28" i="26" s="1"/>
  <c r="G66" i="24"/>
  <c r="F28" i="26" s="1"/>
  <c r="F66" i="24"/>
  <c r="E28" i="26" s="1"/>
  <c r="C66" i="24"/>
  <c r="C28" i="26" s="1"/>
  <c r="I65" i="24"/>
  <c r="L65" i="24" s="1"/>
  <c r="I64" i="24"/>
  <c r="N64" i="24" s="1"/>
  <c r="I63" i="24"/>
  <c r="N63" i="24" s="1"/>
  <c r="K61" i="24"/>
  <c r="J27" i="26" s="1"/>
  <c r="J61" i="24"/>
  <c r="I27" i="26" s="1"/>
  <c r="H61" i="24"/>
  <c r="G61" i="24"/>
  <c r="C61" i="24"/>
  <c r="C27" i="26" s="1"/>
  <c r="N60" i="24"/>
  <c r="F57" i="24"/>
  <c r="I59" i="24"/>
  <c r="M59" i="24" s="1"/>
  <c r="N58" i="24"/>
  <c r="K57" i="24"/>
  <c r="J26" i="26" s="1"/>
  <c r="J57" i="24"/>
  <c r="I26" i="26" s="1"/>
  <c r="H57" i="24"/>
  <c r="I57" i="24" s="1"/>
  <c r="H26" i="26" s="1"/>
  <c r="G57" i="24"/>
  <c r="F26" i="26" s="1"/>
  <c r="C57" i="24"/>
  <c r="C26" i="26" s="1"/>
  <c r="I56" i="24"/>
  <c r="L56" i="24" s="1"/>
  <c r="I55" i="24"/>
  <c r="N55" i="24" s="1"/>
  <c r="I54" i="24"/>
  <c r="H25" i="26" s="1"/>
  <c r="K54" i="24"/>
  <c r="J25" i="26" s="1"/>
  <c r="J54" i="24"/>
  <c r="I25" i="26" s="1"/>
  <c r="G54" i="24"/>
  <c r="F54" i="24"/>
  <c r="E25" i="26" s="1"/>
  <c r="C54" i="24"/>
  <c r="C25" i="26" s="1"/>
  <c r="I53" i="24"/>
  <c r="L53" i="24" s="1"/>
  <c r="F53" i="24"/>
  <c r="E24" i="26" s="1"/>
  <c r="I51" i="24"/>
  <c r="L51" i="24" s="1"/>
  <c r="I50" i="24"/>
  <c r="L50" i="24" s="1"/>
  <c r="I49" i="24"/>
  <c r="M49" i="24" s="1"/>
  <c r="I48" i="24"/>
  <c r="N48" i="24" s="1"/>
  <c r="F44" i="24"/>
  <c r="E23" i="26" s="1"/>
  <c r="C48" i="24"/>
  <c r="I47" i="24"/>
  <c r="N47" i="24" s="1"/>
  <c r="I46" i="24"/>
  <c r="L46" i="24" s="1"/>
  <c r="I45" i="24"/>
  <c r="N45" i="24" s="1"/>
  <c r="K44" i="24"/>
  <c r="J23" i="26" s="1"/>
  <c r="J44" i="24"/>
  <c r="H44" i="24"/>
  <c r="G23" i="26" s="1"/>
  <c r="G44" i="24"/>
  <c r="F23" i="26" s="1"/>
  <c r="C44" i="24"/>
  <c r="C23" i="26" s="1"/>
  <c r="I43" i="24"/>
  <c r="N43" i="24" s="1"/>
  <c r="M42" i="24"/>
  <c r="L42" i="24"/>
  <c r="I41" i="24"/>
  <c r="L41" i="24" s="1"/>
  <c r="I40" i="24"/>
  <c r="N40" i="24" s="1"/>
  <c r="I39" i="24"/>
  <c r="N39" i="24" s="1"/>
  <c r="I38" i="24"/>
  <c r="L38" i="24" s="1"/>
  <c r="J22" i="26"/>
  <c r="J37" i="24"/>
  <c r="I22" i="26" s="1"/>
  <c r="I37" i="24"/>
  <c r="G37" i="24"/>
  <c r="F22" i="26" s="1"/>
  <c r="C37" i="24"/>
  <c r="C22" i="26" s="1"/>
  <c r="I34" i="24"/>
  <c r="N34" i="24" s="1"/>
  <c r="I33" i="24"/>
  <c r="L33" i="24" s="1"/>
  <c r="I32" i="24"/>
  <c r="N32" i="24" s="1"/>
  <c r="I31" i="24"/>
  <c r="L31" i="24" s="1"/>
  <c r="I30" i="24"/>
  <c r="K29" i="24"/>
  <c r="J19" i="26" s="1"/>
  <c r="J29" i="24"/>
  <c r="H29" i="24"/>
  <c r="G19" i="26" s="1"/>
  <c r="G29" i="24"/>
  <c r="F29" i="24"/>
  <c r="I28" i="24"/>
  <c r="L28" i="24" s="1"/>
  <c r="F28" i="24"/>
  <c r="K27" i="24"/>
  <c r="J18" i="26" s="1"/>
  <c r="I27" i="24"/>
  <c r="H18" i="26" s="1"/>
  <c r="C27" i="24"/>
  <c r="C18" i="26" s="1"/>
  <c r="I26" i="24"/>
  <c r="L26" i="24" s="1"/>
  <c r="I25" i="24"/>
  <c r="I24" i="24"/>
  <c r="M24" i="24" s="1"/>
  <c r="I23" i="24"/>
  <c r="N23" i="24" s="1"/>
  <c r="K22" i="24"/>
  <c r="H22" i="24"/>
  <c r="G22" i="24"/>
  <c r="F22" i="24"/>
  <c r="E17" i="26" s="1"/>
  <c r="C22" i="24"/>
  <c r="C17" i="26" s="1"/>
  <c r="I21" i="24"/>
  <c r="H16" i="26" s="1"/>
  <c r="I20" i="24"/>
  <c r="L20" i="24" s="1"/>
  <c r="K15" i="26" s="1"/>
  <c r="E15" i="26"/>
  <c r="N19" i="24"/>
  <c r="I18" i="24"/>
  <c r="L18" i="24" s="1"/>
  <c r="I17" i="24"/>
  <c r="M17" i="24" s="1"/>
  <c r="K16" i="24"/>
  <c r="J14" i="26" s="1"/>
  <c r="J16" i="24"/>
  <c r="I14" i="26" s="1"/>
  <c r="H16" i="24"/>
  <c r="G16" i="24"/>
  <c r="F14" i="26" s="1"/>
  <c r="F16" i="24"/>
  <c r="E14" i="26" s="1"/>
  <c r="C16" i="24"/>
  <c r="C14" i="26" s="1"/>
  <c r="I15" i="24"/>
  <c r="I14" i="24"/>
  <c r="L14" i="24" s="1"/>
  <c r="K12" i="26" s="1"/>
  <c r="I13" i="24"/>
  <c r="L13" i="24" s="1"/>
  <c r="K11" i="26" s="1"/>
  <c r="K12" i="24"/>
  <c r="J12" i="24"/>
  <c r="H12" i="24"/>
  <c r="I12" i="24" s="1"/>
  <c r="G12" i="24"/>
  <c r="F12" i="24"/>
  <c r="C12" i="24"/>
  <c r="H43" i="12"/>
  <c r="I41" i="12"/>
  <c r="H41" i="12"/>
  <c r="M36" i="12"/>
  <c r="G35" i="12"/>
  <c r="E32" i="12"/>
  <c r="G30" i="12"/>
  <c r="H26" i="12"/>
  <c r="H25" i="12"/>
  <c r="H24" i="12"/>
  <c r="H23" i="12"/>
  <c r="I48" i="11"/>
  <c r="D47" i="11"/>
  <c r="I46" i="11"/>
  <c r="D46" i="11"/>
  <c r="F45" i="11"/>
  <c r="E26" i="11"/>
  <c r="E25" i="11" s="1"/>
  <c r="I24" i="11"/>
  <c r="E23" i="11"/>
  <c r="E21" i="11" s="1"/>
  <c r="E19" i="11"/>
  <c r="D19" i="11"/>
  <c r="E18" i="11"/>
  <c r="E16" i="11"/>
  <c r="B16" i="11"/>
  <c r="E15" i="11"/>
  <c r="E12" i="11" s="1"/>
  <c r="E29" i="11" s="1"/>
  <c r="E26" i="9"/>
  <c r="G24" i="9"/>
  <c r="G22" i="9" s="1"/>
  <c r="C24" i="9"/>
  <c r="C22" i="9" s="1"/>
  <c r="H23" i="9"/>
  <c r="H21" i="9"/>
  <c r="F20" i="9"/>
  <c r="E20" i="9"/>
  <c r="C20" i="9"/>
  <c r="G19" i="9"/>
  <c r="G18" i="9"/>
  <c r="E18" i="9"/>
  <c r="C18" i="9"/>
  <c r="G17" i="9"/>
  <c r="F17" i="9"/>
  <c r="E17" i="9"/>
  <c r="C17" i="9"/>
  <c r="G16" i="9"/>
  <c r="E16" i="9"/>
  <c r="C16" i="9"/>
  <c r="C15" i="9"/>
  <c r="G14" i="9"/>
  <c r="E14" i="9"/>
  <c r="C14" i="9"/>
  <c r="G13" i="9"/>
  <c r="E13" i="9"/>
  <c r="C13" i="9"/>
  <c r="G47" i="8"/>
  <c r="H47" i="8" s="1"/>
  <c r="J47" i="8" s="1"/>
  <c r="H46" i="8"/>
  <c r="F45" i="8"/>
  <c r="E45" i="8"/>
  <c r="F26" i="11" s="1"/>
  <c r="F25" i="11" s="1"/>
  <c r="H43" i="8"/>
  <c r="H42" i="8"/>
  <c r="G42" i="8"/>
  <c r="F42" i="8"/>
  <c r="F41" i="8" s="1"/>
  <c r="E42" i="8"/>
  <c r="C42" i="8"/>
  <c r="G41" i="8"/>
  <c r="G40" i="8" s="1"/>
  <c r="E41" i="8"/>
  <c r="E40" i="8" s="1"/>
  <c r="C41" i="8"/>
  <c r="C40" i="8" s="1"/>
  <c r="H39" i="8"/>
  <c r="G38" i="8"/>
  <c r="G37" i="8" s="1"/>
  <c r="G36" i="8" s="1"/>
  <c r="F38" i="8"/>
  <c r="F37" i="8" s="1"/>
  <c r="E38" i="8"/>
  <c r="E37" i="8" s="1"/>
  <c r="C38" i="8"/>
  <c r="C37" i="8" s="1"/>
  <c r="B26" i="11" s="1"/>
  <c r="B25" i="11" s="1"/>
  <c r="H33" i="8"/>
  <c r="H19" i="9" s="1"/>
  <c r="H32" i="8"/>
  <c r="G31" i="8"/>
  <c r="H31" i="8" s="1"/>
  <c r="H19" i="11" s="1"/>
  <c r="E31" i="8"/>
  <c r="F19" i="11" s="1"/>
  <c r="C31" i="8"/>
  <c r="B19" i="11" s="1"/>
  <c r="H30" i="8"/>
  <c r="I30" i="8" s="1"/>
  <c r="H29" i="8"/>
  <c r="I29" i="8" s="1"/>
  <c r="H28" i="8"/>
  <c r="H15" i="9" s="1"/>
  <c r="G15" i="9"/>
  <c r="E28" i="8"/>
  <c r="E15" i="9" s="1"/>
  <c r="H27" i="8"/>
  <c r="H17" i="9" s="1"/>
  <c r="G26" i="8"/>
  <c r="H26" i="8" s="1"/>
  <c r="C26" i="8"/>
  <c r="B18" i="11" s="1"/>
  <c r="F23" i="8"/>
  <c r="F21" i="8" s="1"/>
  <c r="G17" i="11" s="1"/>
  <c r="E25" i="8"/>
  <c r="E23" i="8" s="1"/>
  <c r="E21" i="8" s="1"/>
  <c r="H24" i="8"/>
  <c r="I24" i="8" s="1"/>
  <c r="G23" i="8"/>
  <c r="G21" i="8" s="1"/>
  <c r="C23" i="8"/>
  <c r="C21" i="8" s="1"/>
  <c r="H22" i="8"/>
  <c r="I22" i="8" s="1"/>
  <c r="H19" i="8"/>
  <c r="H14" i="9" s="1"/>
  <c r="F17" i="8"/>
  <c r="F15" i="8" s="1"/>
  <c r="H18" i="8"/>
  <c r="H13" i="9" s="1"/>
  <c r="G17" i="8"/>
  <c r="E17" i="8"/>
  <c r="C17" i="8"/>
  <c r="C15" i="8" s="1"/>
  <c r="G15" i="8"/>
  <c r="E15" i="8"/>
  <c r="C25" i="18"/>
  <c r="C16" i="18" s="1"/>
  <c r="D23" i="18"/>
  <c r="B23" i="18"/>
  <c r="E22" i="18"/>
  <c r="B22" i="18"/>
  <c r="E20" i="18"/>
  <c r="B20" i="18"/>
  <c r="C18" i="18"/>
  <c r="C9" i="18"/>
  <c r="B21" i="18" l="1"/>
  <c r="G52" i="26"/>
  <c r="H156" i="24"/>
  <c r="F52" i="26"/>
  <c r="G156" i="24"/>
  <c r="E52" i="26"/>
  <c r="L42" i="26"/>
  <c r="N26" i="24"/>
  <c r="J50" i="26"/>
  <c r="I28" i="12"/>
  <c r="I22" i="12" s="1"/>
  <c r="M115" i="24"/>
  <c r="M94" i="24"/>
  <c r="M132" i="24"/>
  <c r="I9" i="15"/>
  <c r="M143" i="24"/>
  <c r="M28" i="24"/>
  <c r="M27" i="24" s="1"/>
  <c r="L18" i="26" s="1"/>
  <c r="N174" i="24"/>
  <c r="M97" i="24"/>
  <c r="G46" i="26"/>
  <c r="G45" i="26" s="1"/>
  <c r="N161" i="24"/>
  <c r="M56" i="24"/>
  <c r="E10" i="26"/>
  <c r="L78" i="24"/>
  <c r="M42" i="26"/>
  <c r="M33" i="24"/>
  <c r="N33" i="24"/>
  <c r="M41" i="24"/>
  <c r="F92" i="24"/>
  <c r="E34" i="26" s="1"/>
  <c r="E36" i="8"/>
  <c r="D26" i="11"/>
  <c r="D25" i="11" s="1"/>
  <c r="J42" i="8"/>
  <c r="G26" i="11"/>
  <c r="G25" i="11" s="1"/>
  <c r="H20" i="9"/>
  <c r="I20" i="9" s="1"/>
  <c r="F24" i="9"/>
  <c r="F22" i="9" s="1"/>
  <c r="J20" i="9"/>
  <c r="C11" i="9"/>
  <c r="G20" i="9"/>
  <c r="G11" i="9" s="1"/>
  <c r="G9" i="9" s="1"/>
  <c r="G34" i="8"/>
  <c r="H18" i="9"/>
  <c r="I18" i="8"/>
  <c r="J18" i="8"/>
  <c r="J32" i="8"/>
  <c r="I43" i="8"/>
  <c r="J43" i="8"/>
  <c r="I17" i="9"/>
  <c r="J27" i="8"/>
  <c r="H41" i="8"/>
  <c r="H40" i="8" s="1"/>
  <c r="F40" i="8"/>
  <c r="G28" i="63" s="1"/>
  <c r="I17" i="8"/>
  <c r="I42" i="12"/>
  <c r="I39" i="12" s="1"/>
  <c r="I36" i="12" s="1"/>
  <c r="J42" i="60"/>
  <c r="B30" i="18"/>
  <c r="K14" i="60"/>
  <c r="M14" i="60"/>
  <c r="H42" i="12"/>
  <c r="M24" i="60"/>
  <c r="K10" i="60"/>
  <c r="M30" i="60"/>
  <c r="K19" i="60"/>
  <c r="K29" i="60"/>
  <c r="L19" i="60"/>
  <c r="M20" i="60"/>
  <c r="M25" i="60"/>
  <c r="H33" i="60"/>
  <c r="G43" i="12" s="1"/>
  <c r="K27" i="60"/>
  <c r="B42" i="60"/>
  <c r="E21" i="63" s="1"/>
  <c r="E19" i="63" s="1"/>
  <c r="K28" i="60"/>
  <c r="B41" i="12"/>
  <c r="B39" i="12" s="1"/>
  <c r="B36" i="12" s="1"/>
  <c r="L36" i="60"/>
  <c r="M37" i="60"/>
  <c r="B28" i="18"/>
  <c r="B25" i="18" s="1"/>
  <c r="K9" i="60"/>
  <c r="D41" i="12"/>
  <c r="J9" i="15"/>
  <c r="G9" i="15"/>
  <c r="M19" i="15"/>
  <c r="E23" i="18"/>
  <c r="I72" i="24"/>
  <c r="L72" i="24" s="1"/>
  <c r="L161" i="24"/>
  <c r="M116" i="24"/>
  <c r="I154" i="24"/>
  <c r="H47" i="26" s="1"/>
  <c r="G14" i="26"/>
  <c r="I16" i="24"/>
  <c r="C156" i="24"/>
  <c r="M100" i="24"/>
  <c r="N127" i="24"/>
  <c r="N155" i="24"/>
  <c r="I107" i="24"/>
  <c r="H37" i="26" s="1"/>
  <c r="M37" i="26" s="1"/>
  <c r="C54" i="26"/>
  <c r="C49" i="26" s="1"/>
  <c r="M74" i="24"/>
  <c r="F117" i="24"/>
  <c r="E39" i="26" s="1"/>
  <c r="I157" i="24"/>
  <c r="L157" i="24" s="1"/>
  <c r="M39" i="24"/>
  <c r="N80" i="24"/>
  <c r="L39" i="24"/>
  <c r="H151" i="24"/>
  <c r="F18" i="12" s="1"/>
  <c r="L74" i="24"/>
  <c r="M146" i="24"/>
  <c r="C11" i="24"/>
  <c r="B15" i="12" s="1"/>
  <c r="H32" i="12"/>
  <c r="L165" i="24"/>
  <c r="N84" i="24"/>
  <c r="F82" i="24"/>
  <c r="M82" i="24" s="1"/>
  <c r="N152" i="24"/>
  <c r="K151" i="24"/>
  <c r="I18" i="12" s="1"/>
  <c r="B28" i="12"/>
  <c r="B22" i="12" s="1"/>
  <c r="G17" i="26"/>
  <c r="I22" i="24"/>
  <c r="M22" i="24" s="1"/>
  <c r="L17" i="26" s="1"/>
  <c r="G27" i="26"/>
  <c r="I61" i="24"/>
  <c r="L61" i="24" s="1"/>
  <c r="M78" i="24"/>
  <c r="L95" i="24"/>
  <c r="K35" i="26" s="1"/>
  <c r="F11" i="24"/>
  <c r="D15" i="12" s="1"/>
  <c r="F141" i="24"/>
  <c r="E43" i="26" s="1"/>
  <c r="L132" i="24"/>
  <c r="M160" i="24"/>
  <c r="I170" i="24"/>
  <c r="N170" i="24" s="1"/>
  <c r="F32" i="12"/>
  <c r="F28" i="12"/>
  <c r="F22" i="12" s="1"/>
  <c r="M155" i="24"/>
  <c r="J46" i="26"/>
  <c r="J45" i="26" s="1"/>
  <c r="H18" i="12"/>
  <c r="N149" i="24"/>
  <c r="M139" i="24"/>
  <c r="G41" i="26"/>
  <c r="G33" i="26" s="1"/>
  <c r="M127" i="24"/>
  <c r="M123" i="24"/>
  <c r="I117" i="24"/>
  <c r="H39" i="26" s="1"/>
  <c r="I111" i="24"/>
  <c r="L111" i="24" s="1"/>
  <c r="K38" i="26" s="1"/>
  <c r="N108" i="24"/>
  <c r="N107" i="24"/>
  <c r="I101" i="24"/>
  <c r="H36" i="26" s="1"/>
  <c r="M36" i="26" s="1"/>
  <c r="J33" i="26"/>
  <c r="I33" i="26"/>
  <c r="M96" i="24"/>
  <c r="G91" i="24"/>
  <c r="E17" i="12" s="1"/>
  <c r="F35" i="26"/>
  <c r="F33" i="26" s="1"/>
  <c r="K91" i="24"/>
  <c r="I17" i="12" s="1"/>
  <c r="J91" i="24"/>
  <c r="M77" i="24"/>
  <c r="G30" i="26"/>
  <c r="N65" i="24"/>
  <c r="M65" i="24"/>
  <c r="M60" i="24"/>
  <c r="L60" i="24"/>
  <c r="G26" i="26"/>
  <c r="K26" i="26"/>
  <c r="M46" i="24"/>
  <c r="N46" i="24"/>
  <c r="I44" i="24"/>
  <c r="L44" i="24" s="1"/>
  <c r="L34" i="24"/>
  <c r="M34" i="24"/>
  <c r="I29" i="24"/>
  <c r="H19" i="26" s="1"/>
  <c r="H11" i="24"/>
  <c r="F10" i="26"/>
  <c r="J10" i="26"/>
  <c r="I10" i="26"/>
  <c r="N14" i="24"/>
  <c r="M12" i="26" s="1"/>
  <c r="G10" i="26"/>
  <c r="N13" i="24"/>
  <c r="M11" i="26" s="1"/>
  <c r="M13" i="24"/>
  <c r="L11" i="26" s="1"/>
  <c r="L115" i="24"/>
  <c r="L48" i="24"/>
  <c r="L69" i="24"/>
  <c r="L87" i="24"/>
  <c r="N104" i="24"/>
  <c r="M110" i="24"/>
  <c r="M104" i="24"/>
  <c r="M69" i="24"/>
  <c r="L174" i="24"/>
  <c r="N135" i="24"/>
  <c r="M63" i="24"/>
  <c r="M31" i="24"/>
  <c r="L144" i="24"/>
  <c r="M38" i="24"/>
  <c r="N24" i="24"/>
  <c r="M19" i="26" s="1"/>
  <c r="N38" i="24"/>
  <c r="M158" i="24"/>
  <c r="L32" i="24"/>
  <c r="N51" i="24"/>
  <c r="M137" i="24"/>
  <c r="L153" i="24"/>
  <c r="N158" i="24"/>
  <c r="H55" i="26"/>
  <c r="K55" i="26" s="1"/>
  <c r="L110" i="24"/>
  <c r="M135" i="24"/>
  <c r="L88" i="24"/>
  <c r="M23" i="24"/>
  <c r="N99" i="24"/>
  <c r="N128" i="24"/>
  <c r="N88" i="24"/>
  <c r="N31" i="24"/>
  <c r="N77" i="24"/>
  <c r="N124" i="24"/>
  <c r="N144" i="24"/>
  <c r="M32" i="24"/>
  <c r="L45" i="24"/>
  <c r="M53" i="24"/>
  <c r="L89" i="24"/>
  <c r="L23" i="24"/>
  <c r="L93" i="24"/>
  <c r="M128" i="24"/>
  <c r="L49" i="24"/>
  <c r="M93" i="24"/>
  <c r="L175" i="24"/>
  <c r="N49" i="24"/>
  <c r="M136" i="24"/>
  <c r="L24" i="24"/>
  <c r="L129" i="24"/>
  <c r="M124" i="24"/>
  <c r="L152" i="24"/>
  <c r="L177" i="24"/>
  <c r="M45" i="24"/>
  <c r="M89" i="24"/>
  <c r="L68" i="24"/>
  <c r="L99" i="24"/>
  <c r="N56" i="24"/>
  <c r="N71" i="24"/>
  <c r="N136" i="24"/>
  <c r="N94" i="24"/>
  <c r="M20" i="24"/>
  <c r="L15" i="26" s="1"/>
  <c r="N53" i="24"/>
  <c r="N59" i="24"/>
  <c r="L84" i="24"/>
  <c r="N121" i="24"/>
  <c r="L123" i="24"/>
  <c r="N20" i="24"/>
  <c r="M15" i="26" s="1"/>
  <c r="L96" i="24"/>
  <c r="M113" i="24"/>
  <c r="H15" i="26"/>
  <c r="M48" i="24"/>
  <c r="N21" i="24"/>
  <c r="M16" i="26" s="1"/>
  <c r="L40" i="24"/>
  <c r="L79" i="24"/>
  <c r="L126" i="24"/>
  <c r="L97" i="24"/>
  <c r="L114" i="24"/>
  <c r="M120" i="24"/>
  <c r="B17" i="11"/>
  <c r="B15" i="11" s="1"/>
  <c r="B12" i="11" s="1"/>
  <c r="N122" i="24"/>
  <c r="M122" i="24"/>
  <c r="E28" i="12"/>
  <c r="E22" i="12" s="1"/>
  <c r="E9" i="15"/>
  <c r="D19" i="18"/>
  <c r="D18" i="18" s="1"/>
  <c r="N25" i="24"/>
  <c r="M25" i="24"/>
  <c r="J54" i="26"/>
  <c r="I32" i="12"/>
  <c r="F16" i="11"/>
  <c r="D16" i="11"/>
  <c r="L150" i="24"/>
  <c r="F51" i="26"/>
  <c r="F27" i="26"/>
  <c r="N150" i="24"/>
  <c r="G49" i="26"/>
  <c r="G13" i="8"/>
  <c r="D28" i="63"/>
  <c r="E28" i="63"/>
  <c r="E26" i="63" s="1"/>
  <c r="F23" i="11"/>
  <c r="F21" i="11" s="1"/>
  <c r="E34" i="8"/>
  <c r="I47" i="8"/>
  <c r="B39" i="11"/>
  <c r="B18" i="12"/>
  <c r="E39" i="11"/>
  <c r="D39" i="11"/>
  <c r="D18" i="12"/>
  <c r="F39" i="11"/>
  <c r="L166" i="24"/>
  <c r="M166" i="24"/>
  <c r="I28" i="8"/>
  <c r="I141" i="24"/>
  <c r="L141" i="24" s="1"/>
  <c r="M25" i="15"/>
  <c r="L25" i="15"/>
  <c r="K25" i="15"/>
  <c r="C13" i="8"/>
  <c r="C11" i="8" s="1"/>
  <c r="J28" i="8"/>
  <c r="F16" i="9"/>
  <c r="F43" i="11"/>
  <c r="D43" i="12"/>
  <c r="M79" i="24"/>
  <c r="L130" i="24"/>
  <c r="N130" i="24"/>
  <c r="M130" i="24"/>
  <c r="N142" i="24"/>
  <c r="M142" i="24"/>
  <c r="L142" i="24"/>
  <c r="M15" i="15"/>
  <c r="L15" i="15"/>
  <c r="K15" i="15"/>
  <c r="E39" i="12"/>
  <c r="N15" i="24"/>
  <c r="M13" i="26" s="1"/>
  <c r="M15" i="24"/>
  <c r="L13" i="26" s="1"/>
  <c r="H13" i="26"/>
  <c r="L15" i="24"/>
  <c r="K13" i="26" s="1"/>
  <c r="M80" i="24"/>
  <c r="N112" i="24"/>
  <c r="L112" i="24"/>
  <c r="J17" i="8"/>
  <c r="H15" i="8"/>
  <c r="B30" i="63"/>
  <c r="C36" i="8"/>
  <c r="C34" i="8" s="1"/>
  <c r="H30" i="26"/>
  <c r="M30" i="26" s="1"/>
  <c r="N75" i="24"/>
  <c r="L80" i="24"/>
  <c r="L137" i="24"/>
  <c r="M17" i="15"/>
  <c r="L17" i="15"/>
  <c r="K17" i="15"/>
  <c r="M27" i="15"/>
  <c r="L27" i="15"/>
  <c r="K27" i="15"/>
  <c r="L15" i="60"/>
  <c r="K15" i="60"/>
  <c r="F15" i="9"/>
  <c r="J15" i="9" s="1"/>
  <c r="F26" i="8"/>
  <c r="I26" i="8" s="1"/>
  <c r="F19" i="26"/>
  <c r="F17" i="11"/>
  <c r="E17" i="11"/>
  <c r="D17" i="11"/>
  <c r="F37" i="24"/>
  <c r="M40" i="24"/>
  <c r="H23" i="8"/>
  <c r="I25" i="8"/>
  <c r="K11" i="24"/>
  <c r="J17" i="26"/>
  <c r="L57" i="24"/>
  <c r="N70" i="24"/>
  <c r="M70" i="24"/>
  <c r="L70" i="24"/>
  <c r="L75" i="24"/>
  <c r="M98" i="24"/>
  <c r="F95" i="24"/>
  <c r="M118" i="24"/>
  <c r="M138" i="24"/>
  <c r="E19" i="26"/>
  <c r="D28" i="18"/>
  <c r="D25" i="18" s="1"/>
  <c r="G16" i="11"/>
  <c r="J29" i="8"/>
  <c r="H16" i="9"/>
  <c r="G11" i="24"/>
  <c r="J25" i="8"/>
  <c r="I19" i="11"/>
  <c r="I19" i="26"/>
  <c r="J11" i="24"/>
  <c r="F75" i="24"/>
  <c r="M76" i="24"/>
  <c r="N98" i="24"/>
  <c r="L98" i="24"/>
  <c r="L162" i="24"/>
  <c r="M162" i="24"/>
  <c r="L25" i="26"/>
  <c r="M64" i="24"/>
  <c r="L71" i="24"/>
  <c r="F125" i="24"/>
  <c r="M126" i="24"/>
  <c r="N145" i="24"/>
  <c r="M145" i="24"/>
  <c r="L145" i="24"/>
  <c r="N162" i="24"/>
  <c r="B28" i="63"/>
  <c r="B23" i="11"/>
  <c r="B21" i="11" s="1"/>
  <c r="D30" i="63"/>
  <c r="E26" i="8"/>
  <c r="D23" i="11"/>
  <c r="D21" i="11" s="1"/>
  <c r="C21" i="26"/>
  <c r="N105" i="24"/>
  <c r="L105" i="24"/>
  <c r="E42" i="60"/>
  <c r="E11" i="9"/>
  <c r="N17" i="24"/>
  <c r="L17" i="24"/>
  <c r="N30" i="24"/>
  <c r="M30" i="24"/>
  <c r="L30" i="24"/>
  <c r="M57" i="24"/>
  <c r="E26" i="26"/>
  <c r="L26" i="26" s="1"/>
  <c r="E29" i="26"/>
  <c r="H31" i="26"/>
  <c r="N82" i="24"/>
  <c r="I92" i="24"/>
  <c r="M105" i="24"/>
  <c r="M133" i="24"/>
  <c r="L133" i="24"/>
  <c r="D32" i="12"/>
  <c r="G30" i="63"/>
  <c r="F36" i="8"/>
  <c r="I19" i="8"/>
  <c r="H18" i="11"/>
  <c r="F18" i="9"/>
  <c r="F31" i="8"/>
  <c r="J39" i="8"/>
  <c r="I39" i="8"/>
  <c r="I38" i="8" s="1"/>
  <c r="I37" i="8" s="1"/>
  <c r="I36" i="8" s="1"/>
  <c r="H38" i="8"/>
  <c r="E24" i="9"/>
  <c r="E22" i="9" s="1"/>
  <c r="M54" i="24"/>
  <c r="M38" i="60"/>
  <c r="K38" i="60"/>
  <c r="J19" i="8"/>
  <c r="I32" i="8"/>
  <c r="G45" i="8"/>
  <c r="H45" i="8" s="1"/>
  <c r="F14" i="9"/>
  <c r="J14" i="9" s="1"/>
  <c r="N18" i="24"/>
  <c r="M18" i="24"/>
  <c r="N54" i="24"/>
  <c r="E47" i="26"/>
  <c r="E11" i="63"/>
  <c r="M177" i="24"/>
  <c r="F174" i="24"/>
  <c r="F156" i="24" s="1"/>
  <c r="C9" i="15"/>
  <c r="B19" i="18"/>
  <c r="B18" i="18" s="1"/>
  <c r="K39" i="60"/>
  <c r="M39" i="60"/>
  <c r="F9" i="15"/>
  <c r="M12" i="24"/>
  <c r="I23" i="26"/>
  <c r="I21" i="26" s="1"/>
  <c r="J36" i="24"/>
  <c r="F107" i="24"/>
  <c r="M108" i="24"/>
  <c r="F111" i="24"/>
  <c r="M112" i="24"/>
  <c r="N131" i="24"/>
  <c r="H41" i="26"/>
  <c r="M41" i="26" s="1"/>
  <c r="F47" i="26"/>
  <c r="G151" i="24"/>
  <c r="H11" i="26"/>
  <c r="K37" i="60"/>
  <c r="M29" i="15"/>
  <c r="L29" i="15"/>
  <c r="K29" i="15"/>
  <c r="F13" i="9"/>
  <c r="D28" i="12"/>
  <c r="D22" i="12" s="1"/>
  <c r="H12" i="26"/>
  <c r="M14" i="24"/>
  <c r="L12" i="26" s="1"/>
  <c r="N50" i="24"/>
  <c r="M50" i="24"/>
  <c r="H91" i="24"/>
  <c r="F17" i="12" s="1"/>
  <c r="N109" i="24"/>
  <c r="M109" i="24"/>
  <c r="N139" i="24"/>
  <c r="L139" i="24"/>
  <c r="L21" i="15"/>
  <c r="M163" i="24"/>
  <c r="L163" i="24"/>
  <c r="J21" i="26"/>
  <c r="C36" i="24"/>
  <c r="F29" i="26"/>
  <c r="M114" i="24"/>
  <c r="N118" i="24"/>
  <c r="N134" i="24"/>
  <c r="M134" i="24"/>
  <c r="I159" i="24"/>
  <c r="M159" i="24" s="1"/>
  <c r="F42" i="60"/>
  <c r="K40" i="60"/>
  <c r="M26" i="26"/>
  <c r="N106" i="24"/>
  <c r="M106" i="24"/>
  <c r="N119" i="24"/>
  <c r="M119" i="24"/>
  <c r="L119" i="24"/>
  <c r="G42" i="60"/>
  <c r="F41" i="12"/>
  <c r="F39" i="12" s="1"/>
  <c r="F36" i="12" s="1"/>
  <c r="L21" i="24"/>
  <c r="K16" i="26" s="1"/>
  <c r="G36" i="24"/>
  <c r="F61" i="24"/>
  <c r="N72" i="24"/>
  <c r="M87" i="24"/>
  <c r="N95" i="24"/>
  <c r="H35" i="26"/>
  <c r="L106" i="24"/>
  <c r="I125" i="24"/>
  <c r="M129" i="24"/>
  <c r="K156" i="24"/>
  <c r="I20" i="12" s="1"/>
  <c r="M23" i="15"/>
  <c r="L23" i="15"/>
  <c r="K23" i="15"/>
  <c r="K25" i="60"/>
  <c r="M21" i="24"/>
  <c r="L16" i="26" s="1"/>
  <c r="M26" i="24"/>
  <c r="N37" i="24"/>
  <c r="H22" i="26"/>
  <c r="C91" i="24"/>
  <c r="C34" i="26"/>
  <c r="C33" i="26" s="1"/>
  <c r="K36" i="24"/>
  <c r="F25" i="26"/>
  <c r="L54" i="24"/>
  <c r="I62" i="24"/>
  <c r="N147" i="24"/>
  <c r="M147" i="24"/>
  <c r="M152" i="24"/>
  <c r="I42" i="8"/>
  <c r="L37" i="24"/>
  <c r="N57" i="24"/>
  <c r="L147" i="24"/>
  <c r="K26" i="60"/>
  <c r="J17" i="9"/>
  <c r="L12" i="24"/>
  <c r="L82" i="24"/>
  <c r="N116" i="24"/>
  <c r="L116" i="24"/>
  <c r="L121" i="24"/>
  <c r="H46" i="26"/>
  <c r="L46" i="26" s="1"/>
  <c r="N153" i="24"/>
  <c r="L26" i="60"/>
  <c r="M34" i="60"/>
  <c r="K34" i="60"/>
  <c r="I27" i="8"/>
  <c r="L63" i="24"/>
  <c r="L131" i="24"/>
  <c r="K41" i="26" s="1"/>
  <c r="F131" i="24"/>
  <c r="I164" i="24"/>
  <c r="C10" i="26"/>
  <c r="C9" i="26" s="1"/>
  <c r="I66" i="24"/>
  <c r="F17" i="26"/>
  <c r="H24" i="26"/>
  <c r="L24" i="26" s="1"/>
  <c r="F27" i="24"/>
  <c r="L19" i="24"/>
  <c r="L43" i="24"/>
  <c r="L55" i="24"/>
  <c r="L58" i="24"/>
  <c r="L102" i="24"/>
  <c r="E50" i="26"/>
  <c r="L9" i="60"/>
  <c r="K41" i="60"/>
  <c r="M19" i="24"/>
  <c r="L27" i="24"/>
  <c r="K18" i="26" s="1"/>
  <c r="H36" i="24"/>
  <c r="M43" i="24"/>
  <c r="M55" i="24"/>
  <c r="M58" i="24"/>
  <c r="M102" i="24"/>
  <c r="L148" i="24"/>
  <c r="K35" i="60"/>
  <c r="L143" i="24"/>
  <c r="M148" i="24"/>
  <c r="L35" i="60"/>
  <c r="L47" i="24"/>
  <c r="L81" i="24"/>
  <c r="L113" i="24"/>
  <c r="L120" i="24"/>
  <c r="L173" i="24"/>
  <c r="M47" i="24"/>
  <c r="M81" i="24"/>
  <c r="M103" i="24"/>
  <c r="M173" i="24"/>
  <c r="L10" i="60"/>
  <c r="L59" i="24"/>
  <c r="L85" i="24"/>
  <c r="L149" i="24"/>
  <c r="H29" i="26" l="1"/>
  <c r="M72" i="24"/>
  <c r="M92" i="24"/>
  <c r="N154" i="24"/>
  <c r="L154" i="24"/>
  <c r="M154" i="24"/>
  <c r="L47" i="26"/>
  <c r="K47" i="26"/>
  <c r="J49" i="26"/>
  <c r="E31" i="26"/>
  <c r="L31" i="26" s="1"/>
  <c r="I9" i="26"/>
  <c r="D36" i="11"/>
  <c r="E9" i="26"/>
  <c r="E45" i="26"/>
  <c r="N157" i="24"/>
  <c r="G28" i="12"/>
  <c r="L28" i="12" s="1"/>
  <c r="H50" i="26"/>
  <c r="M50" i="26" s="1"/>
  <c r="L107" i="24"/>
  <c r="K37" i="26" s="1"/>
  <c r="H39" i="12"/>
  <c r="H36" i="12" s="1"/>
  <c r="H38" i="26"/>
  <c r="M38" i="26" s="1"/>
  <c r="M157" i="24"/>
  <c r="C178" i="24"/>
  <c r="F9" i="26"/>
  <c r="N111" i="24"/>
  <c r="I15" i="9"/>
  <c r="I14" i="9"/>
  <c r="I40" i="8"/>
  <c r="F34" i="8"/>
  <c r="D13" i="18"/>
  <c r="G23" i="11"/>
  <c r="G21" i="11" s="1"/>
  <c r="B29" i="11"/>
  <c r="I18" i="9"/>
  <c r="J41" i="8"/>
  <c r="I41" i="8"/>
  <c r="J40" i="8"/>
  <c r="H28" i="63"/>
  <c r="H23" i="11"/>
  <c r="G26" i="63"/>
  <c r="B21" i="63"/>
  <c r="B19" i="63" s="1"/>
  <c r="L33" i="60"/>
  <c r="B45" i="11"/>
  <c r="B43" i="11" s="1"/>
  <c r="K33" i="60"/>
  <c r="E30" i="18"/>
  <c r="B16" i="18"/>
  <c r="D39" i="12"/>
  <c r="D36" i="12" s="1"/>
  <c r="M33" i="60"/>
  <c r="L8" i="60"/>
  <c r="E36" i="11"/>
  <c r="F36" i="11"/>
  <c r="L39" i="26"/>
  <c r="K29" i="26"/>
  <c r="G21" i="26"/>
  <c r="I151" i="24"/>
  <c r="G18" i="12" s="1"/>
  <c r="K18" i="12" s="1"/>
  <c r="B41" i="11"/>
  <c r="B20" i="12"/>
  <c r="F16" i="12"/>
  <c r="I36" i="24"/>
  <c r="H37" i="11" s="1"/>
  <c r="G9" i="26"/>
  <c r="B15" i="63"/>
  <c r="B36" i="11"/>
  <c r="F45" i="26"/>
  <c r="F15" i="12"/>
  <c r="F13" i="12" s="1"/>
  <c r="I11" i="24"/>
  <c r="M170" i="24"/>
  <c r="G32" i="12"/>
  <c r="J32" i="12" s="1"/>
  <c r="H54" i="26"/>
  <c r="M54" i="26" s="1"/>
  <c r="L170" i="24"/>
  <c r="N117" i="24"/>
  <c r="M39" i="26"/>
  <c r="L117" i="24"/>
  <c r="K39" i="26" s="1"/>
  <c r="M117" i="24"/>
  <c r="I91" i="24"/>
  <c r="L91" i="24" s="1"/>
  <c r="M101" i="24"/>
  <c r="L36" i="26"/>
  <c r="L101" i="24"/>
  <c r="K36" i="26" s="1"/>
  <c r="N101" i="24"/>
  <c r="M35" i="26"/>
  <c r="G38" i="11"/>
  <c r="H17" i="12"/>
  <c r="K30" i="26"/>
  <c r="M44" i="24"/>
  <c r="N44" i="24"/>
  <c r="H23" i="26"/>
  <c r="K23" i="26" s="1"/>
  <c r="M29" i="24"/>
  <c r="L19" i="26" s="1"/>
  <c r="L29" i="24"/>
  <c r="K19" i="26" s="1"/>
  <c r="N29" i="24"/>
  <c r="J9" i="26"/>
  <c r="H178" i="24"/>
  <c r="F20" i="12"/>
  <c r="D18" i="11"/>
  <c r="F18" i="11"/>
  <c r="E13" i="8"/>
  <c r="E11" i="8" s="1"/>
  <c r="D11" i="18" s="1"/>
  <c r="D9" i="18" s="1"/>
  <c r="D26" i="63"/>
  <c r="K178" i="24"/>
  <c r="I13" i="9"/>
  <c r="F11" i="9"/>
  <c r="M75" i="24"/>
  <c r="E30" i="26"/>
  <c r="L30" i="26" s="1"/>
  <c r="M95" i="24"/>
  <c r="E35" i="26"/>
  <c r="L35" i="26" s="1"/>
  <c r="N22" i="24"/>
  <c r="M17" i="26" s="1"/>
  <c r="H17" i="26"/>
  <c r="G41" i="12"/>
  <c r="E26" i="18"/>
  <c r="M8" i="60"/>
  <c r="E37" i="26"/>
  <c r="L37" i="26" s="1"/>
  <c r="M107" i="24"/>
  <c r="H15" i="12"/>
  <c r="G11" i="8"/>
  <c r="B16" i="12"/>
  <c r="B37" i="11"/>
  <c r="E38" i="26"/>
  <c r="M111" i="24"/>
  <c r="H16" i="12"/>
  <c r="M22" i="26"/>
  <c r="K22" i="26"/>
  <c r="H14" i="26"/>
  <c r="M16" i="24"/>
  <c r="L14" i="26" s="1"/>
  <c r="L16" i="24"/>
  <c r="K14" i="26" s="1"/>
  <c r="N16" i="24"/>
  <c r="M14" i="26" s="1"/>
  <c r="B26" i="63"/>
  <c r="I28" i="63"/>
  <c r="M131" i="24"/>
  <c r="E41" i="26"/>
  <c r="L41" i="26" s="1"/>
  <c r="L13" i="15"/>
  <c r="K13" i="15"/>
  <c r="M13" i="15"/>
  <c r="G21" i="63"/>
  <c r="G19" i="63" s="1"/>
  <c r="G45" i="11"/>
  <c r="G43" i="11" s="1"/>
  <c r="H45" i="26"/>
  <c r="M46" i="26"/>
  <c r="M29" i="26"/>
  <c r="K8" i="60"/>
  <c r="N12" i="24"/>
  <c r="M10" i="26" s="1"/>
  <c r="E9" i="9"/>
  <c r="F36" i="24"/>
  <c r="M37" i="24"/>
  <c r="E22" i="26"/>
  <c r="H16" i="11"/>
  <c r="I15" i="8"/>
  <c r="J15" i="8"/>
  <c r="B11" i="18"/>
  <c r="J18" i="9"/>
  <c r="E55" i="26"/>
  <c r="L55" i="26" s="1"/>
  <c r="M174" i="24"/>
  <c r="L9" i="15"/>
  <c r="B17" i="12"/>
  <c r="B38" i="11"/>
  <c r="M21" i="15"/>
  <c r="E21" i="18"/>
  <c r="K21" i="15"/>
  <c r="E16" i="12"/>
  <c r="G37" i="11"/>
  <c r="F21" i="26"/>
  <c r="C56" i="26"/>
  <c r="G36" i="11"/>
  <c r="E15" i="12"/>
  <c r="K46" i="26"/>
  <c r="G19" i="11"/>
  <c r="J19" i="11" s="1"/>
  <c r="J31" i="8"/>
  <c r="E27" i="26"/>
  <c r="M61" i="24"/>
  <c r="N159" i="24"/>
  <c r="I156" i="24"/>
  <c r="J159" i="24"/>
  <c r="H51" i="26"/>
  <c r="K51" i="26" s="1"/>
  <c r="K17" i="60"/>
  <c r="H16" i="60"/>
  <c r="H42" i="60" s="1"/>
  <c r="L42" i="60" s="1"/>
  <c r="M17" i="60"/>
  <c r="I45" i="8"/>
  <c r="J45" i="8"/>
  <c r="I23" i="11"/>
  <c r="J16" i="9"/>
  <c r="I16" i="9"/>
  <c r="D16" i="18"/>
  <c r="M24" i="26"/>
  <c r="K24" i="26"/>
  <c r="I15" i="12"/>
  <c r="G15" i="63"/>
  <c r="G178" i="24"/>
  <c r="E20" i="12"/>
  <c r="G41" i="11"/>
  <c r="H28" i="26"/>
  <c r="N66" i="24"/>
  <c r="L66" i="24"/>
  <c r="L36" i="24" s="1"/>
  <c r="M66" i="24"/>
  <c r="L22" i="24"/>
  <c r="K17" i="26" s="1"/>
  <c r="E40" i="26"/>
  <c r="M125" i="24"/>
  <c r="F13" i="8"/>
  <c r="F11" i="8" s="1"/>
  <c r="J38" i="8"/>
  <c r="H37" i="8"/>
  <c r="H34" i="26"/>
  <c r="N92" i="24"/>
  <c r="L92" i="24"/>
  <c r="K34" i="26" s="1"/>
  <c r="J26" i="8"/>
  <c r="G18" i="11"/>
  <c r="J18" i="11" s="1"/>
  <c r="H43" i="26"/>
  <c r="N141" i="24"/>
  <c r="M141" i="24"/>
  <c r="F49" i="26"/>
  <c r="L159" i="24"/>
  <c r="E36" i="12"/>
  <c r="L43" i="12"/>
  <c r="K43" i="12"/>
  <c r="F91" i="24"/>
  <c r="D21" i="63"/>
  <c r="D19" i="63" s="1"/>
  <c r="E45" i="11"/>
  <c r="E43" i="11" s="1"/>
  <c r="D45" i="11"/>
  <c r="D43" i="11" s="1"/>
  <c r="H27" i="26"/>
  <c r="M27" i="26" s="1"/>
  <c r="N61" i="24"/>
  <c r="H10" i="26"/>
  <c r="M47" i="26"/>
  <c r="I16" i="12"/>
  <c r="H40" i="26"/>
  <c r="M40" i="26" s="1"/>
  <c r="N125" i="24"/>
  <c r="L125" i="24"/>
  <c r="K40" i="26" s="1"/>
  <c r="H52" i="26"/>
  <c r="N164" i="24"/>
  <c r="M164" i="24"/>
  <c r="L164" i="24"/>
  <c r="L62" i="24"/>
  <c r="M62" i="24"/>
  <c r="N62" i="24"/>
  <c r="E18" i="12"/>
  <c r="G39" i="11"/>
  <c r="M31" i="26"/>
  <c r="K31" i="26"/>
  <c r="I31" i="8"/>
  <c r="J23" i="8"/>
  <c r="I23" i="8"/>
  <c r="K25" i="26"/>
  <c r="M25" i="26"/>
  <c r="L29" i="26"/>
  <c r="J13" i="9"/>
  <c r="J43" i="12"/>
  <c r="I18" i="11"/>
  <c r="B13" i="18"/>
  <c r="D15" i="11"/>
  <c r="D12" i="11" s="1"/>
  <c r="D29" i="11" s="1"/>
  <c r="F15" i="11"/>
  <c r="F12" i="11" s="1"/>
  <c r="F29" i="11" s="1"/>
  <c r="J56" i="26" l="1"/>
  <c r="L38" i="26"/>
  <c r="L50" i="26"/>
  <c r="K50" i="26"/>
  <c r="G22" i="12"/>
  <c r="J22" i="12" s="1"/>
  <c r="J28" i="12" s="1"/>
  <c r="I13" i="12"/>
  <c r="I11" i="12" s="1"/>
  <c r="K45" i="26"/>
  <c r="H39" i="11"/>
  <c r="I39" i="11" s="1"/>
  <c r="M151" i="24"/>
  <c r="H49" i="26"/>
  <c r="K49" i="26" s="1"/>
  <c r="L151" i="24"/>
  <c r="L156" i="24"/>
  <c r="G20" i="12"/>
  <c r="J20" i="12" s="1"/>
  <c r="G56" i="26"/>
  <c r="N151" i="24"/>
  <c r="K54" i="26"/>
  <c r="L54" i="26"/>
  <c r="B35" i="11"/>
  <c r="B33" i="11" s="1"/>
  <c r="B50" i="11" s="1"/>
  <c r="J23" i="11"/>
  <c r="G15" i="11"/>
  <c r="G12" i="11" s="1"/>
  <c r="G29" i="11" s="1"/>
  <c r="K32" i="12"/>
  <c r="L32" i="12"/>
  <c r="B13" i="12"/>
  <c r="B14" i="63" s="1"/>
  <c r="B12" i="63" s="1"/>
  <c r="M45" i="26"/>
  <c r="L45" i="26"/>
  <c r="N91" i="24"/>
  <c r="G17" i="12"/>
  <c r="J17" i="12" s="1"/>
  <c r="H38" i="11"/>
  <c r="J38" i="11" s="1"/>
  <c r="E33" i="26"/>
  <c r="N36" i="24"/>
  <c r="G16" i="12"/>
  <c r="J16" i="12" s="1"/>
  <c r="F11" i="12"/>
  <c r="F9" i="12" s="1"/>
  <c r="L23" i="26"/>
  <c r="M23" i="26"/>
  <c r="H33" i="26"/>
  <c r="M34" i="26"/>
  <c r="L34" i="26"/>
  <c r="H15" i="63"/>
  <c r="I15" i="63" s="1"/>
  <c r="N156" i="24"/>
  <c r="H41" i="11"/>
  <c r="J41" i="11" s="1"/>
  <c r="H21" i="26"/>
  <c r="M21" i="26" s="1"/>
  <c r="E49" i="26"/>
  <c r="H17" i="11"/>
  <c r="O15" i="11" s="1"/>
  <c r="J21" i="8"/>
  <c r="I21" i="8"/>
  <c r="G10" i="63"/>
  <c r="I9" i="8"/>
  <c r="L27" i="26"/>
  <c r="H30" i="63"/>
  <c r="H36" i="8"/>
  <c r="H34" i="8" s="1"/>
  <c r="E13" i="18" s="1"/>
  <c r="J37" i="8"/>
  <c r="J36" i="8" s="1"/>
  <c r="H26" i="11"/>
  <c r="J16" i="11"/>
  <c r="I16" i="11"/>
  <c r="L41" i="12"/>
  <c r="K41" i="12"/>
  <c r="J41" i="12"/>
  <c r="D10" i="63"/>
  <c r="L40" i="26"/>
  <c r="G12" i="63"/>
  <c r="E21" i="26"/>
  <c r="L22" i="26"/>
  <c r="H21" i="63"/>
  <c r="H45" i="11"/>
  <c r="M42" i="60"/>
  <c r="D16" i="12"/>
  <c r="F37" i="11"/>
  <c r="E37" i="11"/>
  <c r="D37" i="11"/>
  <c r="M36" i="24"/>
  <c r="J11" i="9"/>
  <c r="H9" i="26"/>
  <c r="L10" i="26"/>
  <c r="K10" i="26"/>
  <c r="F56" i="26"/>
  <c r="K27" i="26"/>
  <c r="H11" i="8"/>
  <c r="H15" i="11"/>
  <c r="J13" i="8"/>
  <c r="I13" i="8"/>
  <c r="I178" i="24"/>
  <c r="L178" i="24" s="1"/>
  <c r="H36" i="11"/>
  <c r="N11" i="24"/>
  <c r="M9" i="26" s="1"/>
  <c r="G15" i="12"/>
  <c r="M11" i="24"/>
  <c r="J18" i="12"/>
  <c r="L18" i="12"/>
  <c r="E13" i="12"/>
  <c r="M9" i="15"/>
  <c r="L11" i="24"/>
  <c r="M11" i="15"/>
  <c r="E19" i="18"/>
  <c r="E18" i="18" s="1"/>
  <c r="L11" i="15"/>
  <c r="K11" i="15"/>
  <c r="M43" i="26"/>
  <c r="L43" i="26"/>
  <c r="K43" i="26"/>
  <c r="G35" i="11"/>
  <c r="G33" i="11" s="1"/>
  <c r="G50" i="11" s="1"/>
  <c r="H13" i="12"/>
  <c r="M16" i="60"/>
  <c r="E28" i="18"/>
  <c r="E25" i="18" s="1"/>
  <c r="G42" i="12"/>
  <c r="G39" i="12" s="1"/>
  <c r="L16" i="60"/>
  <c r="K16" i="60"/>
  <c r="B9" i="18"/>
  <c r="F9" i="9"/>
  <c r="I11" i="9"/>
  <c r="M52" i="26"/>
  <c r="L52" i="26"/>
  <c r="K52" i="26"/>
  <c r="L22" i="12"/>
  <c r="K9" i="15"/>
  <c r="J37" i="11"/>
  <c r="M51" i="26"/>
  <c r="L51" i="26"/>
  <c r="M28" i="26"/>
  <c r="K28" i="26"/>
  <c r="L28" i="26"/>
  <c r="D15" i="63"/>
  <c r="F178" i="24"/>
  <c r="F41" i="11"/>
  <c r="M156" i="24"/>
  <c r="D20" i="12"/>
  <c r="E41" i="11"/>
  <c r="D41" i="11"/>
  <c r="F38" i="11"/>
  <c r="D17" i="12"/>
  <c r="E38" i="11"/>
  <c r="D38" i="11"/>
  <c r="M91" i="24"/>
  <c r="H28" i="12"/>
  <c r="H22" i="12" s="1"/>
  <c r="I51" i="26"/>
  <c r="I49" i="26" s="1"/>
  <c r="I56" i="26" s="1"/>
  <c r="J156" i="24"/>
  <c r="K42" i="60"/>
  <c r="E11" i="18" l="1"/>
  <c r="M9" i="8"/>
  <c r="N20" i="8"/>
  <c r="M49" i="26"/>
  <c r="K22" i="12"/>
  <c r="K28" i="12" s="1"/>
  <c r="J39" i="11"/>
  <c r="G13" i="12"/>
  <c r="G11" i="12" s="1"/>
  <c r="J9" i="8"/>
  <c r="B11" i="12"/>
  <c r="K17" i="12"/>
  <c r="L17" i="12"/>
  <c r="I38" i="11"/>
  <c r="K16" i="12"/>
  <c r="L16" i="12"/>
  <c r="L21" i="26"/>
  <c r="K21" i="26"/>
  <c r="G36" i="12"/>
  <c r="L39" i="12"/>
  <c r="K39" i="12"/>
  <c r="J39" i="12"/>
  <c r="H43" i="11"/>
  <c r="J45" i="11"/>
  <c r="I45" i="11"/>
  <c r="J17" i="11"/>
  <c r="I17" i="11"/>
  <c r="E56" i="26"/>
  <c r="L49" i="26"/>
  <c r="H19" i="63"/>
  <c r="I21" i="63"/>
  <c r="L20" i="12"/>
  <c r="K20" i="12"/>
  <c r="J36" i="11"/>
  <c r="H35" i="11"/>
  <c r="I36" i="11"/>
  <c r="H25" i="11"/>
  <c r="J26" i="11"/>
  <c r="I26" i="11"/>
  <c r="L15" i="12"/>
  <c r="K15" i="12"/>
  <c r="J34" i="8"/>
  <c r="I34" i="8"/>
  <c r="E9" i="18"/>
  <c r="K9" i="26"/>
  <c r="L9" i="26"/>
  <c r="E16" i="18"/>
  <c r="I30" i="63"/>
  <c r="H26" i="63"/>
  <c r="I26" i="63" s="1"/>
  <c r="M33" i="26"/>
  <c r="K33" i="26"/>
  <c r="H56" i="26"/>
  <c r="M56" i="26" s="1"/>
  <c r="D35" i="11"/>
  <c r="D33" i="11" s="1"/>
  <c r="D50" i="11" s="1"/>
  <c r="H12" i="11"/>
  <c r="J15" i="11"/>
  <c r="I15" i="11"/>
  <c r="E35" i="11"/>
  <c r="E33" i="11" s="1"/>
  <c r="E50" i="11" s="1"/>
  <c r="H12" i="63"/>
  <c r="N178" i="24"/>
  <c r="H10" i="63"/>
  <c r="I11" i="8"/>
  <c r="J11" i="8"/>
  <c r="I41" i="11"/>
  <c r="J15" i="12"/>
  <c r="G14" i="63"/>
  <c r="E11" i="12"/>
  <c r="D13" i="12"/>
  <c r="H20" i="12"/>
  <c r="J178" i="24"/>
  <c r="L42" i="12"/>
  <c r="K42" i="12"/>
  <c r="J42" i="12"/>
  <c r="M178" i="24"/>
  <c r="I9" i="12"/>
  <c r="I37" i="11"/>
  <c r="F35" i="11"/>
  <c r="L33" i="26"/>
  <c r="H17" i="63" l="1"/>
  <c r="B9" i="12"/>
  <c r="I19" i="63"/>
  <c r="H32" i="63"/>
  <c r="K56" i="26"/>
  <c r="K13" i="12"/>
  <c r="L13" i="12"/>
  <c r="H11" i="12"/>
  <c r="H9" i="12" s="1"/>
  <c r="D14" i="63"/>
  <c r="C12" i="63" s="1"/>
  <c r="C10" i="63" s="1"/>
  <c r="D11" i="12"/>
  <c r="L56" i="26"/>
  <c r="I25" i="11"/>
  <c r="J25" i="11"/>
  <c r="H21" i="11"/>
  <c r="I14" i="63"/>
  <c r="I12" i="63"/>
  <c r="I35" i="11"/>
  <c r="F33" i="11"/>
  <c r="E9" i="12"/>
  <c r="J43" i="11"/>
  <c r="I43" i="11"/>
  <c r="I10" i="63"/>
  <c r="J35" i="11"/>
  <c r="H33" i="11"/>
  <c r="J13" i="12"/>
  <c r="J12" i="11"/>
  <c r="H29" i="11"/>
  <c r="I12" i="11"/>
  <c r="K36" i="12"/>
  <c r="L36" i="12"/>
  <c r="J36" i="12"/>
  <c r="J11" i="12" l="1"/>
  <c r="G9" i="12"/>
  <c r="J9" i="12" s="1"/>
  <c r="J29" i="11"/>
  <c r="I29" i="11"/>
  <c r="L11" i="12"/>
  <c r="K11" i="12"/>
  <c r="F50" i="11"/>
  <c r="F52" i="11" s="1"/>
  <c r="I33" i="11"/>
  <c r="I50" i="11" s="1"/>
  <c r="H50" i="11"/>
  <c r="J50" i="11" s="1"/>
  <c r="J33" i="11"/>
  <c r="D12" i="63"/>
  <c r="D9" i="12"/>
  <c r="J21" i="11"/>
  <c r="I21" i="11"/>
  <c r="H52" i="11" l="1"/>
  <c r="K9" i="12"/>
  <c r="L9" i="12"/>
  <c r="H24" i="9" l="1"/>
  <c r="H30" i="9"/>
  <c r="H27" i="9"/>
  <c r="J27" i="9" s="1"/>
  <c r="H28" i="9"/>
  <c r="J28" i="9" s="1"/>
  <c r="H26" i="9"/>
  <c r="H22" i="9" l="1"/>
  <c r="I26" i="9"/>
  <c r="J24" i="9"/>
  <c r="I22" i="9"/>
  <c r="I24" i="9"/>
  <c r="J22" i="9"/>
  <c r="I30" i="9"/>
  <c r="I28" i="9"/>
  <c r="J30" i="9"/>
  <c r="J26" i="9"/>
  <c r="H9" i="9" l="1"/>
  <c r="J9" i="9" l="1"/>
  <c r="I9" i="9"/>
  <c r="A52" i="12" a="1"/>
  <c r="A52" i="12" s="1"/>
  <c r="W53" i="24" l="1"/>
  <c r="F26" i="12"/>
  <c r="G26" i="12"/>
  <c r="F24" i="12"/>
  <c r="G24" i="12"/>
  <c r="F23" i="12"/>
  <c r="G23" i="12"/>
  <c r="F25" i="12"/>
  <c r="G25" i="1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<sst xmlns="http://schemas.openxmlformats.org/spreadsheetml/2006/main" count="1069" uniqueCount="542">
  <si>
    <t>DETALLE</t>
  </si>
  <si>
    <t>P R E S U P U E S T O</t>
  </si>
  <si>
    <t>LEY</t>
  </si>
  <si>
    <t>MODIFICADO</t>
  </si>
  <si>
    <t>MODIFICAD0</t>
  </si>
  <si>
    <t>EJECUTADO</t>
  </si>
  <si>
    <t>INGRESOS</t>
  </si>
  <si>
    <t>Ingresos Corrientes</t>
  </si>
  <si>
    <t>Ingresos de Capital</t>
  </si>
  <si>
    <t>EGRESOS</t>
  </si>
  <si>
    <t>FUNCIONAMIENTO</t>
  </si>
  <si>
    <t xml:space="preserve">  </t>
  </si>
  <si>
    <t xml:space="preserve"> </t>
  </si>
  <si>
    <t>Dirección y Administración General</t>
  </si>
  <si>
    <t>Educación Superior Tecnológica</t>
  </si>
  <si>
    <t>Investigación, Post Grado y Extensión</t>
  </si>
  <si>
    <t>INVERSIONES</t>
  </si>
  <si>
    <t>Construcciones Educativas</t>
  </si>
  <si>
    <t>Mobiliario, Libros y Equipos Educ.</t>
  </si>
  <si>
    <t>Transferencia de Tecnología</t>
  </si>
  <si>
    <t xml:space="preserve">   Fuente: Dirección nacional de Presupuesto.</t>
  </si>
  <si>
    <t>TOTAL</t>
  </si>
  <si>
    <t>APORTE ESTATAL</t>
  </si>
  <si>
    <t>Fuente: Dirección Nacional de Presupuesto</t>
  </si>
  <si>
    <t>VARIACION</t>
  </si>
  <si>
    <t>ASIGNADO</t>
  </si>
  <si>
    <t>ABSOLUTA</t>
  </si>
  <si>
    <t>RELATIVA</t>
  </si>
  <si>
    <t xml:space="preserve">            T  O  T   A   L...</t>
  </si>
  <si>
    <t xml:space="preserve"> I  Ingresos Corrientes</t>
  </si>
  <si>
    <t xml:space="preserve">    3. Tasa y Derechos</t>
  </si>
  <si>
    <t xml:space="preserve">    4. Ingresos Varios</t>
  </si>
  <si>
    <t xml:space="preserve"> II  Ingreso de Capital</t>
  </si>
  <si>
    <t>T   O   T   A   L</t>
  </si>
  <si>
    <t>INGRESOS PROPIOS</t>
  </si>
  <si>
    <t xml:space="preserve">   OTROS SER. AUTOGESTION</t>
  </si>
  <si>
    <t xml:space="preserve">   MATRICULA-DERECHOS</t>
  </si>
  <si>
    <t xml:space="preserve">   OTROS - BIBLIOTECA</t>
  </si>
  <si>
    <t xml:space="preserve">   TASAS</t>
  </si>
  <si>
    <t xml:space="preserve">   INGRESOS VARIOS</t>
  </si>
  <si>
    <t xml:space="preserve">   SALDO EN CAJA (CAPITAL)</t>
  </si>
  <si>
    <t>Fuente: Dirección Nacional de Presupuesto.</t>
  </si>
  <si>
    <t>SALDO A LA FECHA</t>
  </si>
  <si>
    <t>EJECUCIÓN PORCENTUAL</t>
  </si>
  <si>
    <t>COMPROMETIDO</t>
  </si>
  <si>
    <t>PAGADO</t>
  </si>
  <si>
    <t>TRANSFERENCIAS CORRIENTES</t>
  </si>
  <si>
    <t>TRANSFERENCIAS DE CAPITAL</t>
  </si>
  <si>
    <t>DEVENGADO</t>
  </si>
  <si>
    <t xml:space="preserve">  Fuente: Dirección Nacional de Presupuesto.</t>
  </si>
  <si>
    <t>PRESUPUESTO</t>
  </si>
  <si>
    <t>ANUAL</t>
  </si>
  <si>
    <t>DIRECCION Y ADMON  GENERAL</t>
  </si>
  <si>
    <t>EDUC. SUPERIOR TECNOLOGICA</t>
  </si>
  <si>
    <t xml:space="preserve"> I. Ingresos Corrientes</t>
  </si>
  <si>
    <t>GASTOS</t>
  </si>
  <si>
    <t xml:space="preserve"> I.   Gastos Corrientes</t>
  </si>
  <si>
    <t xml:space="preserve"> II     Gastos de Capital</t>
  </si>
  <si>
    <t>Resultados Presupuestarios</t>
  </si>
  <si>
    <t>UNIVERSIDAD TECNOLÓGICA DE PANAMÁ</t>
  </si>
  <si>
    <t>DIRECCIÓN NACIONAL DE PRESUPUESTO</t>
  </si>
  <si>
    <t>RECAUDACIÓN PRESUPUESTARIA SEGÚN GRUPO DE INGRESOS</t>
  </si>
  <si>
    <t>CODIFICACIÓN</t>
  </si>
  <si>
    <t>RECAUDACION</t>
  </si>
  <si>
    <t xml:space="preserve"> MODIFICADO</t>
  </si>
  <si>
    <t>MENSUAL</t>
  </si>
  <si>
    <t>ACUMULADO</t>
  </si>
  <si>
    <t>PORCENTUAL</t>
  </si>
  <si>
    <t>1.95.1</t>
  </si>
  <si>
    <t>1.95.1.2</t>
  </si>
  <si>
    <t xml:space="preserve">    1.  No Tributarios</t>
  </si>
  <si>
    <t>1.95.1.2.1</t>
  </si>
  <si>
    <t xml:space="preserve">      1.1  Renta de Activos</t>
  </si>
  <si>
    <t>1.95.1.2.1.4</t>
  </si>
  <si>
    <t xml:space="preserve">          1.1.1 Ing. por Vtas. de Servicios</t>
  </si>
  <si>
    <t>1.95.1.2.1.4.12</t>
  </si>
  <si>
    <t xml:space="preserve">              1.1.1.1 Lab. y C. Especializados.</t>
  </si>
  <si>
    <t>1.95.1.2.1.4.99</t>
  </si>
  <si>
    <t xml:space="preserve">              1.1.1.2 Otros Servicios-Autogestión.</t>
  </si>
  <si>
    <t>1.95.1.2.3</t>
  </si>
  <si>
    <t xml:space="preserve">    2.  Transferencias Corrientes</t>
  </si>
  <si>
    <t xml:space="preserve"> 1.95.1.2.3.1</t>
  </si>
  <si>
    <t xml:space="preserve">      2. 1  Gobierno Central</t>
  </si>
  <si>
    <t>1.95.2.3.1.07</t>
  </si>
  <si>
    <t xml:space="preserve">           2.1.1  Ministerio de Educación.</t>
  </si>
  <si>
    <t>1.95.1.2.4</t>
  </si>
  <si>
    <t>1.95.1.2.4.2.26</t>
  </si>
  <si>
    <t xml:space="preserve">      3.1 Tasas por Servicios</t>
  </si>
  <si>
    <t>1.95.1.2.4.1.24</t>
  </si>
  <si>
    <t xml:space="preserve">      3.2. Derechos</t>
  </si>
  <si>
    <t>1.95.1.2.4.1.97</t>
  </si>
  <si>
    <t xml:space="preserve">      3.3. Otros  -Biblioteca</t>
  </si>
  <si>
    <t>1.95.1.2.6</t>
  </si>
  <si>
    <t>1.95.1.2.6.1.99</t>
  </si>
  <si>
    <t xml:space="preserve">       4.1. Otros Ing. Varios</t>
  </si>
  <si>
    <t>1.95.2</t>
  </si>
  <si>
    <t>1.95.2.3</t>
  </si>
  <si>
    <t xml:space="preserve">    1. Otros Ingresos de Capital</t>
  </si>
  <si>
    <t>1.95.2.3.2</t>
  </si>
  <si>
    <t xml:space="preserve">      1.1  Transferencias de Capital</t>
  </si>
  <si>
    <t>1.95.2.3.2.1</t>
  </si>
  <si>
    <t xml:space="preserve">          1.1.1  Gobierno Central</t>
  </si>
  <si>
    <t>1.95.2.3.2.1.07</t>
  </si>
  <si>
    <t xml:space="preserve">             1.1.1.1 Ministerio de Educación</t>
  </si>
  <si>
    <t>1.95.2.4</t>
  </si>
  <si>
    <t xml:space="preserve">     2. Saldo en Caja y Banco</t>
  </si>
  <si>
    <t>1.95.2.4.1</t>
  </si>
  <si>
    <t xml:space="preserve">      2.1. Disponible en Caja y  Banco.</t>
  </si>
  <si>
    <t>1.95.2.4.1.2</t>
  </si>
  <si>
    <t xml:space="preserve">          2.1.1  Instituc. Descentralizadas</t>
  </si>
  <si>
    <t>1.95.2.4.1.2.01</t>
  </si>
  <si>
    <t xml:space="preserve">             2.1.1.1 Saldo de Capital</t>
  </si>
  <si>
    <t xml:space="preserve">   B. Transf. de Capital</t>
  </si>
  <si>
    <t xml:space="preserve">       Gobierno Central.</t>
  </si>
  <si>
    <t>RECAUDACIÓN PRESUPUESTARIA SEGÚN OBJETO DE INGRESOS</t>
  </si>
  <si>
    <t xml:space="preserve">  CODIFICACION PRESUPUESTARIA</t>
  </si>
  <si>
    <t xml:space="preserve"> RECAUDACION</t>
  </si>
  <si>
    <t>ACUMULADA</t>
  </si>
  <si>
    <t>ABOLUTA</t>
  </si>
  <si>
    <t xml:space="preserve">    LABORATORIOS Y C. ESPECIALIZADOS</t>
  </si>
  <si>
    <t xml:space="preserve"> 1.2.1.4.12</t>
  </si>
  <si>
    <t xml:space="preserve"> 1.2.1.4.99</t>
  </si>
  <si>
    <t>1.2.4.1.24</t>
  </si>
  <si>
    <t>1.2.4.1.97</t>
  </si>
  <si>
    <t>1.2.4.2.26</t>
  </si>
  <si>
    <t>1.2.6.1.99</t>
  </si>
  <si>
    <t xml:space="preserve">   SALDO EN CAJA  (CORRIENTE)</t>
  </si>
  <si>
    <t>1.4.1.2.01</t>
  </si>
  <si>
    <t>2.4.1.2.01</t>
  </si>
  <si>
    <t>1.2.3.1.07</t>
  </si>
  <si>
    <t xml:space="preserve">   APORTE LIBRE</t>
  </si>
  <si>
    <t xml:space="preserve">   I.D.A.A.N.</t>
  </si>
  <si>
    <t>CONTRIBUCIÓN A LA S. S</t>
  </si>
  <si>
    <t>2.3.2.1.07</t>
  </si>
  <si>
    <t xml:space="preserve">                                    ,   </t>
  </si>
  <si>
    <t>}</t>
  </si>
  <si>
    <t>.</t>
  </si>
  <si>
    <t xml:space="preserve">  FLUJO PRESUPUESTARIO DE INGRESOS Y GASTOS</t>
  </si>
  <si>
    <t xml:space="preserve">   A. Ingresos Tributarios</t>
  </si>
  <si>
    <t xml:space="preserve">   B. Ingresos No Tributarios</t>
  </si>
  <si>
    <t xml:space="preserve">       1.Renta de Activos.</t>
  </si>
  <si>
    <t xml:space="preserve">       2. Transf. Corrientes</t>
  </si>
  <si>
    <t xml:space="preserve">       3. Tasas y Derechos</t>
  </si>
  <si>
    <t xml:space="preserve">       4. Ingresos Varios</t>
  </si>
  <si>
    <t xml:space="preserve">   A.  Saldo Inicial en Caja y Bco.</t>
  </si>
  <si>
    <t xml:space="preserve">   B.  Recursos del Crédito</t>
  </si>
  <si>
    <t xml:space="preserve">   C.  Otros Rec. de Capital</t>
  </si>
  <si>
    <t xml:space="preserve">        1. Transf. de Capital</t>
  </si>
  <si>
    <t xml:space="preserve">   D.   Menos S. Final en Caja</t>
  </si>
  <si>
    <t xml:space="preserve">      Total Final en Caja</t>
  </si>
  <si>
    <t xml:space="preserve">    A. Operaciòn</t>
  </si>
  <si>
    <t xml:space="preserve">        1.  Servicios Personales</t>
  </si>
  <si>
    <t xml:space="preserve">        2.  Serv. No Personales</t>
  </si>
  <si>
    <t xml:space="preserve">        3.  Materiales y Suministro</t>
  </si>
  <si>
    <t xml:space="preserve">        4.  Inversiones Fínancieras</t>
  </si>
  <si>
    <t xml:space="preserve">    B.  Transf. Corrientes</t>
  </si>
  <si>
    <t xml:space="preserve">      A.  Inversiones Fìsicas</t>
  </si>
  <si>
    <t xml:space="preserve">      B.  Inversiones Financieras</t>
  </si>
  <si>
    <t xml:space="preserve">      C   Transf. de Capital</t>
  </si>
  <si>
    <t xml:space="preserve">      D  Amortización de la Deuda.</t>
  </si>
  <si>
    <t xml:space="preserve">           Total de Gastos </t>
  </si>
  <si>
    <t xml:space="preserve"> BALANCE PRESUPUESTARIO ACUMULADO DE GASTO</t>
  </si>
  <si>
    <t xml:space="preserve">         P R E S U P U E S T O</t>
  </si>
  <si>
    <t xml:space="preserve">                T   O   T    A    L</t>
  </si>
  <si>
    <t xml:space="preserve">    I  Gastos Corrientes</t>
  </si>
  <si>
    <t xml:space="preserve">       A. Operación</t>
  </si>
  <si>
    <t xml:space="preserve">          I.  Servicios Personales</t>
  </si>
  <si>
    <t xml:space="preserve">          2.  Serv. No Personales</t>
  </si>
  <si>
    <t xml:space="preserve">          3.  Materiales y Suministro</t>
  </si>
  <si>
    <t xml:space="preserve">          4.  Inversiones Directas</t>
  </si>
  <si>
    <t xml:space="preserve">       B. Transferencias</t>
  </si>
  <si>
    <t xml:space="preserve">     </t>
  </si>
  <si>
    <t xml:space="preserve">         1.  Al Sector Público.</t>
  </si>
  <si>
    <t xml:space="preserve">               a. Gobierno Central</t>
  </si>
  <si>
    <t xml:space="preserve">               b. Ent. Descentral.</t>
  </si>
  <si>
    <t xml:space="preserve">               c. Empresas Pùblicas</t>
  </si>
  <si>
    <t xml:space="preserve">               d. Municipios</t>
  </si>
  <si>
    <t xml:space="preserve">           a. Gobierno Central</t>
  </si>
  <si>
    <t xml:space="preserve">           b. Entidades   Descent.ral. </t>
  </si>
  <si>
    <t xml:space="preserve">           c. Empresasa Públicas</t>
  </si>
  <si>
    <t xml:space="preserve">        2. Transferencias al Exterior</t>
  </si>
  <si>
    <t xml:space="preserve">    II  Gastos DE CAPITAL</t>
  </si>
  <si>
    <t xml:space="preserve">       A.  Inversiones Físicas</t>
  </si>
  <si>
    <t xml:space="preserve">          I. Obras y Construcciones</t>
  </si>
  <si>
    <t xml:space="preserve">          2. Maquinaria y Equipo.</t>
  </si>
  <si>
    <t xml:space="preserve">          3. Investig. Y Transf. de Tec.</t>
  </si>
  <si>
    <t xml:space="preserve">CUADRO A-6A. EJECUCION PRESUPUESTARIA  DE FUNCIONAMIENTO </t>
  </si>
  <si>
    <t>O/G</t>
  </si>
  <si>
    <t>EJECUCIÓN</t>
  </si>
  <si>
    <t>DEVENGADO ACUMULADO</t>
  </si>
  <si>
    <t>PAGADO ACUMULADO</t>
  </si>
  <si>
    <t>EJECUCIÓN  PORCENTUAL</t>
  </si>
  <si>
    <t>COLUMNA SUMATORIA</t>
  </si>
  <si>
    <t>0</t>
  </si>
  <si>
    <t>SERVICIOS PERSONALES</t>
  </si>
  <si>
    <t>000</t>
  </si>
  <si>
    <t>SUELDOS FIJOS</t>
  </si>
  <si>
    <t>001</t>
  </si>
  <si>
    <t>002</t>
  </si>
  <si>
    <t>SUELDO PERSONAL TRANS.</t>
  </si>
  <si>
    <t>003</t>
  </si>
  <si>
    <t>CONTINGENTE</t>
  </si>
  <si>
    <t>010</t>
  </si>
  <si>
    <t xml:space="preserve">SOBRESUELDOS </t>
  </si>
  <si>
    <t>011</t>
  </si>
  <si>
    <t>SOBRESUELDO POR ANTIG.</t>
  </si>
  <si>
    <t>013</t>
  </si>
  <si>
    <t>SOBRESUELDOS POR JEF.</t>
  </si>
  <si>
    <t>019</t>
  </si>
  <si>
    <t>OTROS SOBRESUELDOS</t>
  </si>
  <si>
    <t>030</t>
  </si>
  <si>
    <t>GASTOS DE REPRES.</t>
  </si>
  <si>
    <t>050</t>
  </si>
  <si>
    <t>XIII MES</t>
  </si>
  <si>
    <t>070</t>
  </si>
  <si>
    <t>CONTRIBUC. A LA S.S.</t>
  </si>
  <si>
    <t>071</t>
  </si>
  <si>
    <t>C.P. SEG. SOCIAL</t>
  </si>
  <si>
    <t>072</t>
  </si>
  <si>
    <t>C.P. SEG. EDUCATIVO</t>
  </si>
  <si>
    <t>073</t>
  </si>
  <si>
    <t>C.P. RIESGO PROF.</t>
  </si>
  <si>
    <t>074</t>
  </si>
  <si>
    <t>C.P. FDO COMPLEM.</t>
  </si>
  <si>
    <t>080</t>
  </si>
  <si>
    <t>OTROS SERV. PERSONALES</t>
  </si>
  <si>
    <t>081</t>
  </si>
  <si>
    <t>GRATIFICACIÓN O AGUINALDO</t>
  </si>
  <si>
    <t>090</t>
  </si>
  <si>
    <t>CR.REC.POR S. PERSONAL</t>
  </si>
  <si>
    <t>091</t>
  </si>
  <si>
    <t>CRED.REC.POR SUELDO</t>
  </si>
  <si>
    <t>092</t>
  </si>
  <si>
    <t>CRED. REC. POR SOBRESURLDOS</t>
  </si>
  <si>
    <t>094</t>
  </si>
  <si>
    <t>CRED. REC. GASTOS E REPRES.</t>
  </si>
  <si>
    <t>096</t>
  </si>
  <si>
    <t>CRED.REC.POR DECIMO III</t>
  </si>
  <si>
    <t>099</t>
  </si>
  <si>
    <t>CRE.REC.POR CONT. SGURIDAD SOC.</t>
  </si>
  <si>
    <t>1</t>
  </si>
  <si>
    <t>SERV. NO PERSONALES</t>
  </si>
  <si>
    <t>ALQUILERES</t>
  </si>
  <si>
    <t>101</t>
  </si>
  <si>
    <t>DE EDIFICIOS</t>
  </si>
  <si>
    <t>102</t>
  </si>
  <si>
    <t>EQUIPO ELECTRONICO</t>
  </si>
  <si>
    <t>103</t>
  </si>
  <si>
    <t>EQUIPO DE OFICINA</t>
  </si>
  <si>
    <t>104</t>
  </si>
  <si>
    <t>ALQ. DE EQ. DE PROD.</t>
  </si>
  <si>
    <t>105</t>
  </si>
  <si>
    <t>ALQ. DE EQ. DE TRANSPORTE</t>
  </si>
  <si>
    <t>109</t>
  </si>
  <si>
    <t>OTROS ALQUILERES</t>
  </si>
  <si>
    <t>110</t>
  </si>
  <si>
    <t>SERVICIOS BASICOS</t>
  </si>
  <si>
    <t>111</t>
  </si>
  <si>
    <t>AGUA</t>
  </si>
  <si>
    <t>112</t>
  </si>
  <si>
    <t>ASEO</t>
  </si>
  <si>
    <t>113</t>
  </si>
  <si>
    <t>CORREO</t>
  </si>
  <si>
    <t>114</t>
  </si>
  <si>
    <t>ENERGIA ELECTRICA</t>
  </si>
  <si>
    <t>115</t>
  </si>
  <si>
    <t>TELECOMUNICACIONES</t>
  </si>
  <si>
    <t>SERVICIO TRASMISION DATOS</t>
  </si>
  <si>
    <t>SERVICIO DE TELEFONÍA CELULAR</t>
  </si>
  <si>
    <t>OTROS SERVICIOS BASICOS</t>
  </si>
  <si>
    <t>IMPRESOS Y ENCUADER.</t>
  </si>
  <si>
    <t>130</t>
  </si>
  <si>
    <t>INF.Y PUBLICIDAD</t>
  </si>
  <si>
    <t>131</t>
  </si>
  <si>
    <t>ANUNCIOS Y AVISOS</t>
  </si>
  <si>
    <t>132</t>
  </si>
  <si>
    <t>PROMOCION Y PUBLICIDAD</t>
  </si>
  <si>
    <t>140</t>
  </si>
  <si>
    <t>VIATICOS</t>
  </si>
  <si>
    <t>141</t>
  </si>
  <si>
    <t>DENTRO DEL PAIS</t>
  </si>
  <si>
    <t>142</t>
  </si>
  <si>
    <t>EN EL EXTERIOR</t>
  </si>
  <si>
    <t>A PERSONAS</t>
  </si>
  <si>
    <t>150</t>
  </si>
  <si>
    <t>TRANSPORTE</t>
  </si>
  <si>
    <t>151</t>
  </si>
  <si>
    <t>152</t>
  </si>
  <si>
    <t>DE OTRAS PERSONAS</t>
  </si>
  <si>
    <t xml:space="preserve">                                                                                                                            </t>
  </si>
  <si>
    <t>TRANSPORTE DE BIENES</t>
  </si>
  <si>
    <t>160</t>
  </si>
  <si>
    <t>S. COMERCIALES</t>
  </si>
  <si>
    <t>GASTOS BANCARIOS</t>
  </si>
  <si>
    <t>163</t>
  </si>
  <si>
    <t>GASTOS JUDICIALES</t>
  </si>
  <si>
    <t>164</t>
  </si>
  <si>
    <t>GASTOS DE SEGURO</t>
  </si>
  <si>
    <t>SERVICIOS ADUANEROS</t>
  </si>
  <si>
    <t>169</t>
  </si>
  <si>
    <t>OTROS SERVICIOS</t>
  </si>
  <si>
    <t>CONSULTORIAS Y SERV</t>
  </si>
  <si>
    <t xml:space="preserve">CONSULTORIAS </t>
  </si>
  <si>
    <t>172</t>
  </si>
  <si>
    <t>SERVICIOS ESPECIALES</t>
  </si>
  <si>
    <t>180</t>
  </si>
  <si>
    <t>MANTO Y REPARACION</t>
  </si>
  <si>
    <t>MANT. Y REPARACION  EDIF.</t>
  </si>
  <si>
    <t>182</t>
  </si>
  <si>
    <t>MANT. Y REPARACION MAQ. OTROS</t>
  </si>
  <si>
    <t>MANT. Y REPARACION  MOBILIARIOS</t>
  </si>
  <si>
    <t>MANT. Y REPARACION  OBRAS</t>
  </si>
  <si>
    <t>MANT. DE EQUIPOS DE COMP.</t>
  </si>
  <si>
    <t>OTROS MANTENIMIENTO</t>
  </si>
  <si>
    <t>CRED.REC. POR SERVICIOS NO PERS.</t>
  </si>
  <si>
    <t>CRED.REC.POR AlQUILERES</t>
  </si>
  <si>
    <t>CRED.REC.POR SERV. BÁSICOS</t>
  </si>
  <si>
    <t>CRED.REC.POR INFORMACIÓN Y PUB.</t>
  </si>
  <si>
    <t>CRED.REC.POR VIÁTICOS</t>
  </si>
  <si>
    <t>CRED.REC.POR TRANSP. PERSONAS</t>
  </si>
  <si>
    <t>CRED.REC.POR SERV. COMERCIALES</t>
  </si>
  <si>
    <t>CRED.REC.POR MANTO. Y REPARAC.</t>
  </si>
  <si>
    <t>2</t>
  </si>
  <si>
    <t>MATER.Y SUMINISTROS</t>
  </si>
  <si>
    <t>200</t>
  </si>
  <si>
    <t>ALIMENTOS Y BEBIDAS</t>
  </si>
  <si>
    <t>201</t>
  </si>
  <si>
    <t>PARA CONSUMO HUMANO</t>
  </si>
  <si>
    <t>203</t>
  </si>
  <si>
    <t>BEBIDAS</t>
  </si>
  <si>
    <t>210</t>
  </si>
  <si>
    <t>TEXTILES Y VESTUARIOS</t>
  </si>
  <si>
    <t>211</t>
  </si>
  <si>
    <t>ACABADO TEXTIL</t>
  </si>
  <si>
    <t>212</t>
  </si>
  <si>
    <t>CALZADOS</t>
  </si>
  <si>
    <t>213</t>
  </si>
  <si>
    <t>HILADOS Y TELAS</t>
  </si>
  <si>
    <t>214</t>
  </si>
  <si>
    <t>PRENDAS DE VESTIR</t>
  </si>
  <si>
    <t>219</t>
  </si>
  <si>
    <t>OTROS TEXTILES</t>
  </si>
  <si>
    <t>220</t>
  </si>
  <si>
    <t>COMBUSTIBLES Y LUB.</t>
  </si>
  <si>
    <t>221</t>
  </si>
  <si>
    <t>DIESEL</t>
  </si>
  <si>
    <t>GAS</t>
  </si>
  <si>
    <t>223</t>
  </si>
  <si>
    <t>GASOLINA</t>
  </si>
  <si>
    <t>224</t>
  </si>
  <si>
    <t>LUBRICANTES</t>
  </si>
  <si>
    <t>OTROS COMBUSTIBLES</t>
  </si>
  <si>
    <t>230</t>
  </si>
  <si>
    <t>PROD. DE PAPEL</t>
  </si>
  <si>
    <t>231</t>
  </si>
  <si>
    <t>IMPRESOS</t>
  </si>
  <si>
    <t>232</t>
  </si>
  <si>
    <t>PAPELERIA</t>
  </si>
  <si>
    <t>239</t>
  </si>
  <si>
    <t>OTROS PROD. DE PAPEL</t>
  </si>
  <si>
    <t>240</t>
  </si>
  <si>
    <t>OTROS PROD. QUIMICOS</t>
  </si>
  <si>
    <t>241</t>
  </si>
  <si>
    <t>ABONOS Y FERTILIZANTES</t>
  </si>
  <si>
    <t>242</t>
  </si>
  <si>
    <t>INSECT. FUMIGANTES Y OTROS</t>
  </si>
  <si>
    <t>243</t>
  </si>
  <si>
    <t>PINTURAS</t>
  </si>
  <si>
    <t>244</t>
  </si>
  <si>
    <t>PRODUCTOS MEDICINALES</t>
  </si>
  <si>
    <t>249</t>
  </si>
  <si>
    <t>OTROS P. QUIMICOS</t>
  </si>
  <si>
    <t>250</t>
  </si>
  <si>
    <t>MAT. DE CONSTRUCCION</t>
  </si>
  <si>
    <t>252</t>
  </si>
  <si>
    <t>CEMENTO</t>
  </si>
  <si>
    <t>253</t>
  </si>
  <si>
    <t>MADERAS</t>
  </si>
  <si>
    <t>M. DE PLOMERIA</t>
  </si>
  <si>
    <t>255</t>
  </si>
  <si>
    <t>M. DE ELECTRICIDAD</t>
  </si>
  <si>
    <t>256</t>
  </si>
  <si>
    <t>M. METALICOS</t>
  </si>
  <si>
    <t>PIEDRA Y ARENA</t>
  </si>
  <si>
    <t>259</t>
  </si>
  <si>
    <t>OROS MATERIALES</t>
  </si>
  <si>
    <t>260</t>
  </si>
  <si>
    <t>PRODUCTOS VARIOS</t>
  </si>
  <si>
    <t>|</t>
  </si>
  <si>
    <t>ARTICULOS PARA RECEPCION</t>
  </si>
  <si>
    <t>262</t>
  </si>
  <si>
    <t>HERRAMIENTAS  E INSTRUMENTOS</t>
  </si>
  <si>
    <t>MAT. Y EQUIPO DE SEGURIDAD</t>
  </si>
  <si>
    <t>265</t>
  </si>
  <si>
    <t>MAT. Y SUMINISTROS DE COMP.</t>
  </si>
  <si>
    <t>269</t>
  </si>
  <si>
    <t>OTROS P. VARIOS</t>
  </si>
  <si>
    <t>270</t>
  </si>
  <si>
    <t>UTILES DE M. DIVERSOS</t>
  </si>
  <si>
    <t>271</t>
  </si>
  <si>
    <t>UTILES DE COCINA Y COMEDOR</t>
  </si>
  <si>
    <t>272</t>
  </si>
  <si>
    <t>UTILES DEPORTIVOS</t>
  </si>
  <si>
    <t>273</t>
  </si>
  <si>
    <t>UTILES DE ASEO</t>
  </si>
  <si>
    <t>274</t>
  </si>
  <si>
    <t>UTILES DE LABORATORIOS</t>
  </si>
  <si>
    <t>275</t>
  </si>
  <si>
    <t>UTILES DE OFICINA</t>
  </si>
  <si>
    <t>INSTRUMENTOS MEDICOS</t>
  </si>
  <si>
    <t>ARTICULOS DE PROTESIS Y REHA.</t>
  </si>
  <si>
    <t>279</t>
  </si>
  <si>
    <t>OTROS U. Y MATERIALES</t>
  </si>
  <si>
    <t>280</t>
  </si>
  <si>
    <t>REPUESTOS</t>
  </si>
  <si>
    <t>CR.REC.POR MAT. Y SUM.</t>
  </si>
  <si>
    <t>CR.REC. POR ALIMENTOS</t>
  </si>
  <si>
    <t>CD.REC. TEXTILES Y VESTUARIOS</t>
  </si>
  <si>
    <t>CD.REC. COMB. Y LUB.</t>
  </si>
  <si>
    <t>CD.REC. PRODUCTO DE PAPEL</t>
  </si>
  <si>
    <t>CR.REC.PROD. QUIMICOS Y CONEXOS</t>
  </si>
  <si>
    <t>CD.REC.POR MATERIALES CONST.</t>
  </si>
  <si>
    <t>CD.REC. PROD. VARIOS</t>
  </si>
  <si>
    <t>CRED.REC.UTILES Y MAT.</t>
  </si>
  <si>
    <t>CRED.REC.POR REPUESTOS</t>
  </si>
  <si>
    <t>INV. FINANCIERAS</t>
  </si>
  <si>
    <t>COMPRA DE EXISTENCIA</t>
  </si>
  <si>
    <t>OTRAS EXISTENCIAS</t>
  </si>
  <si>
    <t>CR. REC. INVERSIONES FIN.</t>
  </si>
  <si>
    <t>CR. REC.  COMPRA EXISTENCIA</t>
  </si>
  <si>
    <t>6</t>
  </si>
  <si>
    <t>TRANSFERENCIAS CORR.</t>
  </si>
  <si>
    <t>600</t>
  </si>
  <si>
    <t>PENSIONES Y JUBILACIONES</t>
  </si>
  <si>
    <t>609</t>
  </si>
  <si>
    <t>OTRAS PENSIONES Y JUBILACIONES</t>
  </si>
  <si>
    <t>610</t>
  </si>
  <si>
    <t>DONATIVOS A PERSONAS</t>
  </si>
  <si>
    <t>INDEMNIZACIONES LABORALES</t>
  </si>
  <si>
    <t>INDEMNIZ. POR RETIRO VOL.</t>
  </si>
  <si>
    <t>OTRAS TRANSFERENCIAS</t>
  </si>
  <si>
    <t>BECAS DE ESTUDIO</t>
  </si>
  <si>
    <t>622</t>
  </si>
  <si>
    <t>BECAS UNIVERSITARIAS</t>
  </si>
  <si>
    <t>ADIEST. Y ESTUDIOS</t>
  </si>
  <si>
    <t>OTRAS BECAS</t>
  </si>
  <si>
    <t>TRANSF. CORRIENTES A INST. PUB.</t>
  </si>
  <si>
    <t>AL GOBIERNO CENTRAL</t>
  </si>
  <si>
    <t>660</t>
  </si>
  <si>
    <t>TRANSF. AL EXTERIOR</t>
  </si>
  <si>
    <t>CUOTA  ORG. CENTROAM.</t>
  </si>
  <si>
    <t>663</t>
  </si>
  <si>
    <t>CUOTA  ORG. INTERAM.</t>
  </si>
  <si>
    <t>664</t>
  </si>
  <si>
    <t>CUOTA A ORG. MUNDIALES</t>
  </si>
  <si>
    <t>CRED. REC. POR TRANSF.COM</t>
  </si>
  <si>
    <t>CR. REC.TRASNF. CORRIENTES</t>
  </si>
  <si>
    <t>CR. REC.P'OR BECAS DE ESTUDIOS</t>
  </si>
  <si>
    <t>CR. REC.TRASNF. EXTERIOR</t>
  </si>
  <si>
    <t>TOTAL FUNCIONAMIENTO</t>
  </si>
  <si>
    <t>UNIVERSIDAD TECNOLÓGICA DE PANAMA</t>
  </si>
  <si>
    <t xml:space="preserve"> EJECUCION PRESUPUESTARIA  DE FUNCIONAMIENTO </t>
  </si>
  <si>
    <t>CTA.</t>
  </si>
  <si>
    <t>120</t>
  </si>
  <si>
    <t>CR.REC.POR S. NO PERS.</t>
  </si>
  <si>
    <t>PENSIÓN Y JUBILACIONES</t>
  </si>
  <si>
    <t>TRANSF. CORRIENTES A INST.PUB.</t>
  </si>
  <si>
    <t>CRED. REC. POR TRANSF.</t>
  </si>
  <si>
    <t xml:space="preserve">    Fuente: Dirección Nacional de Presupuesto.</t>
  </si>
  <si>
    <t xml:space="preserve">  EJECUCION PRESUPUESTARIA SEGÚN ESTRUCTURA PROGRAMATICA  </t>
  </si>
  <si>
    <t>P</t>
  </si>
  <si>
    <t>SALDO  A LA FECHA</t>
  </si>
  <si>
    <t xml:space="preserve">       T   O  T   A     L</t>
  </si>
  <si>
    <t>DIRECCION SUPERIOR</t>
  </si>
  <si>
    <t>PLANIFICACION UNIVERSITARIA</t>
  </si>
  <si>
    <t>ADMINISTRACION GENERAL</t>
  </si>
  <si>
    <t>SECRETARIA GENERAL</t>
  </si>
  <si>
    <t>ADMON DE LA EDUC.SUPERIOR</t>
  </si>
  <si>
    <t>DOCENCIA CENTRAL</t>
  </si>
  <si>
    <t>DOCENCIA REGIONAL</t>
  </si>
  <si>
    <t>3</t>
  </si>
  <si>
    <t>INV.POSTGRADO Y EXTENSION</t>
  </si>
  <si>
    <t xml:space="preserve">COMPROMISO PRESUPUESTARIO DE INVERSIONES </t>
  </si>
  <si>
    <t>PROGRAMAS-PROYECTOS</t>
  </si>
  <si>
    <t>SALDO ANUAL</t>
  </si>
  <si>
    <t>PROGRAMA DE CONSTRUCCIONES</t>
  </si>
  <si>
    <t>CONSTRUCCION II FASE DEL PROYECTO DEL CAMPUS CENTRAL</t>
  </si>
  <si>
    <t>MANTENIMIENTO PREVENTIVO Y CORRECTIVO DE LA INFRAESTRUCTURA FISICA Y PATRIMONIAL DE LA UTP A NIVEL NACIONAL.</t>
  </si>
  <si>
    <t>CONSTRUCCIÓN II ETAPA DE EDIFICIO DE AULAS  DE PANAMA OESTE</t>
  </si>
  <si>
    <t>CONSTRUCCIÓN DE EDIFICIO DE FACILIDADES ESTUDIANTILES Y CAFETERIA COLÓN</t>
  </si>
  <si>
    <t>REPARACIÓN DEL EDIFICIO 70 Y TALLER DE METAL MECANICA DE COLÓN</t>
  </si>
  <si>
    <t>FORTALECIMIENTO DE LA SEDE REGIONAL</t>
  </si>
  <si>
    <t>PROGRAMA DE MOBILIARIO</t>
  </si>
  <si>
    <t>MEJORAMIENTO LABORATORIOS FACULTADES Y CENTROS REGIONALES</t>
  </si>
  <si>
    <t>MEJORAMIENTO DE LA INFRAESTRUCTURA TECNOLÓGICA DE LA UTP</t>
  </si>
  <si>
    <t>IMPLEMENTACIÓN DE LA MOVILIDAD ELECTRICA EN LA UTP</t>
  </si>
  <si>
    <t>FORTALECIMIENTO DE LA GESTIÓN ADMINISTRATIVA DE LA UTP</t>
  </si>
  <si>
    <t>MEJORAMIENTO DE LOS LABORATORIOS DE LA FAC. DE ING. MECÁNICA UTP</t>
  </si>
  <si>
    <t>MEJORAMIENTO DEL CENTRO DE DATOS DE LA UTP</t>
  </si>
  <si>
    <t>EQUIPAMIENTO DE LABORATORIO DE SUELDOS Y MATERIALES (LASYMA)</t>
  </si>
  <si>
    <t>EQUIPAMIENTO DE LABORATORIO ACADÉMICOS C.REG. DE BOCAS DEL TORO</t>
  </si>
  <si>
    <t>HABILITACIÓN DE LABORATORIOS DE DOCENCIA PARA EL CENTRO CITT</t>
  </si>
  <si>
    <t>FORTALECIMIENTO DE CAPACIDADES DEL LABORATORIO DE BIOSÓLIDOS</t>
  </si>
  <si>
    <t>MEJORAMIENTO DEL LABORATORIO DE SUELOS Y MAT. C.REG. CHIRIQUÍ</t>
  </si>
  <si>
    <t>HABILITACIÓN DE LABORATORIOS DE QUÍMICA CAMPUS CENTRAL</t>
  </si>
  <si>
    <t>INVESTIGACION Y TRANSFERENCIA DE TECNOLOGÍA</t>
  </si>
  <si>
    <t>DESARROLLO DE CONSULTORÍAS PARA PROYECOTS DE ESTADO</t>
  </si>
  <si>
    <t>FORTALECIMIENTO DE LA GESTIÓN DE PATENTES TECNOLÓGICAS</t>
  </si>
  <si>
    <t>DESARROLLO DEL CENTRO DE ESTUDIOS MULTIDISCIPLINARIO EN CIENCIAS</t>
  </si>
  <si>
    <t>HABILITACIÓN DE INFRAEST. Y EQUIP. DE LAB. PARA EL IMPULSO DE INVESTIGACIÓN Y LA INNOVACIÓN.</t>
  </si>
  <si>
    <t>HABILITACIÓN DEL CENTRO NACIONALDE SUPERCOMPUTACIÓN PARA INV. DE DIFERENTES FENÓMENOS Y ESCALAS (IBEROGUN)-UTP</t>
  </si>
  <si>
    <t>HABILITACIÓN DE UN CENTRO DE TEC. AVANZADA PARA LA INDUSTRIA DE SEMICONDUCTORES DE PANAMA (C-TASC PANAMÁ)</t>
  </si>
  <si>
    <t>DESARROLLO DEL PLAN DE FORMACIÓN PARA DOCENTES INVESTIGADORES</t>
  </si>
  <si>
    <t>FINANCIAMIENTO PRESUPUESTARIO DE INGRESOS Y GASTOS</t>
  </si>
  <si>
    <t xml:space="preserve"> I.  Ingresos Corrientes</t>
  </si>
  <si>
    <t xml:space="preserve"> II. Gastos Corrientes</t>
  </si>
  <si>
    <t xml:space="preserve">        Gastos  de Operación ( 0-1-2-3-4)</t>
  </si>
  <si>
    <t xml:space="preserve">        Transferencias Corrientes  (6)</t>
  </si>
  <si>
    <t xml:space="preserve"> III. Ahorro  en Cta Corriente ( I-II )</t>
  </si>
  <si>
    <t xml:space="preserve"> IV.  Gasto  de Capital</t>
  </si>
  <si>
    <t xml:space="preserve">        Inversión Financiera</t>
  </si>
  <si>
    <t xml:space="preserve">        Transferencia de capital (7)</t>
  </si>
  <si>
    <t xml:space="preserve">        Amortización de la Deuda (8)</t>
  </si>
  <si>
    <t xml:space="preserve"> V.   Ingresos de Capital ( 2 )</t>
  </si>
  <si>
    <t xml:space="preserve">        Saldo Inicial en Caja y Banco</t>
  </si>
  <si>
    <t xml:space="preserve">        Recursos del Credito</t>
  </si>
  <si>
    <t xml:space="preserve">        Transferencias de Capital</t>
  </si>
  <si>
    <t xml:space="preserve"> VI. Resultado Presupuestario (III -1V + V)</t>
  </si>
  <si>
    <t xml:space="preserve">        Inversión Física  </t>
  </si>
  <si>
    <t>CONTENCIÓN</t>
  </si>
  <si>
    <t>REHABILITACIÓN DE LOS ESTACIONAMIENTOS DEL CENTRO R. CHIRIQUÍ</t>
  </si>
  <si>
    <t>MEJORAMIENTO DE LAB. ACADÉMICOS Y DE ÁREAS DOC. Y ADM. FII-UTP</t>
  </si>
  <si>
    <t>HABILITACIÓN DEL LAB. DE ANÁLISIS INDUSTRIALES Y CIENCIA (LABAICA</t>
  </si>
  <si>
    <t>DESARROLLO DEL HUB DE FORMACIÓN PARA LA TRANSF. DIGITAL E INDUSTRA 4.0</t>
  </si>
  <si>
    <t>EJEC.  PORC.</t>
  </si>
  <si>
    <t>POR PROGRAMA  AL 30 DE  NOVIEMBRE DE 2025 (En Balboas)</t>
  </si>
  <si>
    <t xml:space="preserve"> OBJETO DE GASTO: AL 30 DE NOVIEMBRE  DE 2025</t>
  </si>
  <si>
    <t xml:space="preserve"> NIVEL DE CUENTA AL 30 DE NOVIEMBRE DE 2025 (En Balboas) </t>
  </si>
  <si>
    <t>AL 30 DE NOVIEMBRE DE 2025 (En Balboas)</t>
  </si>
  <si>
    <t>AL 30 DE NOVIEMBRE DE 2025 (En Miles de Balboas)</t>
  </si>
  <si>
    <t xml:space="preserve">   AL 30 DE NOVIEMBRE DE 2025 (En Balboas)</t>
  </si>
  <si>
    <t>CTAS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</si>
</sst>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164" formatCode="&quot; B/.&quot;#,##0.00\ ;&quot; B/.(&quot;#,##0.00\);&quot; B/.-&quot;#\ ;@\ "/>
    <numFmt numFmtId="165" formatCode="[$€]#,##0.00\ ;[$€]\(#,##0.00\);[$€]\-#\ ;@\ "/>
    <numFmt numFmtId="166" formatCode="0.00\ "/>
    <numFmt numFmtId="167" formatCode="#,##0.0\ ;\(#,###\)"/>
    <numFmt numFmtId="168" formatCode="0.0"/>
    <numFmt numFmtId="170" formatCode="#,##0.0"/>
    <numFmt numFmtId="171" formatCode="#,##0\ ;\(#,##0\)"/>
    <numFmt numFmtId="172" formatCode="#,##0.000000000"/>
    <numFmt numFmtId="173" formatCode="#,##0.0\ ;\(#,##0.0\)"/>
    <numFmt numFmtId="174" formatCode="#,##0.0_);[Red]\(#,##0.0\)"/>
    <numFmt numFmtId="176" formatCode="dd/mmm"/>
    <numFmt numFmtId="177" formatCode="#,##0.000000000000"/>
  </numFmts>
  <fonts count="80">
    <font>
      <sz val="10"/>
      <name val="Arial"/>
      <charset val="134"/>
    </font>
    <font>
      <sz val="10"/>
      <color rgb="FFFF0000"/>
      <name val="Arial"/>
      <family val="2"/>
    </font>
    <font>
      <sz val="10"/>
      <color rgb="FF002060"/>
      <name val="Arial"/>
      <family val="2"/>
    </font>
    <font>
      <b/>
      <sz val="10"/>
      <color rgb="FF002060"/>
      <name val="Arial"/>
      <family val="2"/>
    </font>
    <font>
      <sz val="11"/>
      <color rgb="FF002060"/>
      <name val="Arial"/>
      <family val="2"/>
    </font>
    <font>
      <b/>
      <sz val="11"/>
      <color rgb="FF002060"/>
      <name val="Arial"/>
      <family val="2"/>
    </font>
    <font>
      <sz val="8"/>
      <color rgb="FF00206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9"/>
      <name val="Arial Black"/>
      <family val="2"/>
    </font>
    <font>
      <sz val="11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sz val="9"/>
      <color indexed="18"/>
      <name val="Arial"/>
      <family val="2"/>
    </font>
    <font>
      <sz val="10"/>
      <name val="Arial Black"/>
      <family val="2"/>
    </font>
    <font>
      <b/>
      <sz val="8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b/>
      <u/>
      <sz val="12"/>
      <name val="Arial"/>
      <family val="2"/>
    </font>
    <font>
      <b/>
      <i/>
      <sz val="10"/>
      <name val="Arial"/>
      <family val="2"/>
    </font>
    <font>
      <b/>
      <sz val="10.5"/>
      <name val="Arial"/>
      <family val="2"/>
    </font>
    <font>
      <sz val="9"/>
      <color rgb="FF00206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9"/>
      <color rgb="FF002060"/>
      <name val="Arial"/>
      <family val="2"/>
    </font>
    <font>
      <sz val="8"/>
      <color rgb="FFFF0000"/>
      <name val="Arial"/>
      <family val="2"/>
    </font>
    <font>
      <b/>
      <sz val="12"/>
      <color rgb="FF002060"/>
      <name val="Georgia"/>
      <family val="1"/>
    </font>
    <font>
      <sz val="12"/>
      <color rgb="FF002060"/>
      <name val="Georgia"/>
      <family val="1"/>
    </font>
    <font>
      <sz val="10.5"/>
      <name val="Arial"/>
      <family val="2"/>
    </font>
    <font>
      <sz val="10.5"/>
      <color theme="1"/>
      <name val="Arial"/>
      <family val="2"/>
    </font>
    <font>
      <b/>
      <sz val="10.5"/>
      <color theme="1"/>
      <name val="Arial"/>
      <family val="2"/>
    </font>
    <font>
      <sz val="10.5"/>
      <name val="Arial Black"/>
      <family val="2"/>
    </font>
    <font>
      <i/>
      <sz val="10.5"/>
      <name val="Arial Black"/>
      <family val="2"/>
    </font>
    <font>
      <sz val="10"/>
      <name val="Arial"/>
      <family val="2"/>
    </font>
    <font>
      <sz val="9"/>
      <color rgb="FF000099"/>
      <name val="Arial"/>
      <family val="2"/>
    </font>
    <font>
      <b/>
      <sz val="12"/>
      <color rgb="FF002060"/>
      <name val="Arial"/>
      <family val="2"/>
    </font>
    <font>
      <sz val="10"/>
      <color theme="3" tint="-0.499984740745262"/>
      <name val="Arial"/>
      <family val="2"/>
    </font>
    <font>
      <b/>
      <sz val="8"/>
      <color rgb="FF0000FF"/>
      <name val="Arial"/>
      <family val="2"/>
    </font>
    <font>
      <sz val="10.5"/>
      <color rgb="FF062948"/>
      <name val="Arial Black"/>
      <family val="2"/>
    </font>
    <font>
      <sz val="10.5"/>
      <color rgb="FF062948"/>
      <name val="Arial"/>
      <family val="2"/>
    </font>
    <font>
      <b/>
      <sz val="10.5"/>
      <color rgb="FFFF0000"/>
      <name val="Arial"/>
      <family val="2"/>
    </font>
    <font>
      <sz val="10.5"/>
      <color rgb="FFFF0000"/>
      <name val="Arial"/>
      <family val="2"/>
    </font>
    <font>
      <sz val="10.5"/>
      <color rgb="FF002060"/>
      <name val="Arial"/>
      <family val="2"/>
    </font>
    <font>
      <sz val="10.5"/>
      <color rgb="FF002060"/>
      <name val="Arial Black"/>
      <family val="2"/>
    </font>
    <font>
      <b/>
      <sz val="10.5"/>
      <color rgb="FF00206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39"/>
      <name val="Arial"/>
      <family val="2"/>
    </font>
    <font>
      <sz val="10"/>
      <color theme="1"/>
      <name val="Arial"/>
      <family val="2"/>
    </font>
    <font>
      <b/>
      <i/>
      <sz val="10"/>
      <color rgb="FF002060"/>
      <name val="Arial"/>
      <family val="2"/>
    </font>
    <font>
      <b/>
      <sz val="10"/>
      <color indexed="39"/>
      <name val="Arial"/>
      <family val="2"/>
    </font>
    <font>
      <sz val="10"/>
      <color rgb="FF000066"/>
      <name val="Arial"/>
      <family val="2"/>
    </font>
    <font>
      <b/>
      <sz val="10"/>
      <name val="Arial Rounded MT Bold"/>
      <family val="2"/>
    </font>
    <font>
      <sz val="10"/>
      <name val="Arial Rounded MT Bold"/>
      <family val="2"/>
    </font>
    <font>
      <b/>
      <u/>
      <sz val="10"/>
      <name val="Arial Rounded MT Bold"/>
      <family val="2"/>
    </font>
    <font>
      <b/>
      <u/>
      <sz val="11"/>
      <name val="Arial"/>
      <family val="2"/>
    </font>
    <font>
      <sz val="10"/>
      <name val="Arial"/>
      <family val="2"/>
    </font>
    <font>
      <b/>
      <sz val="12"/>
      <color rgb="FF002060"/>
      <name val="Georgia"/>
      <family val="1"/>
    </font>
    <font>
      <sz val="12"/>
      <color rgb="FF002060"/>
      <name val="Georgia"/>
      <family val="1"/>
    </font>
    <font>
      <b/>
      <sz val="12"/>
      <name val="Arial"/>
      <family val="2"/>
    </font>
    <font>
      <b/>
      <sz val="12"/>
      <color rgb="FF002060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0.5"/>
      <name val="Arial"/>
      <family val="2"/>
    </font>
    <font>
      <sz val="10.5"/>
      <name val="Arial Black"/>
      <family val="2"/>
    </font>
    <font>
      <sz val="10.5"/>
      <name val="Arial"/>
      <family val="2"/>
    </font>
    <font>
      <i/>
      <sz val="10.5"/>
      <name val="Arial Black"/>
      <family val="2"/>
    </font>
    <font>
      <b/>
      <sz val="10"/>
      <color rgb="FF002060"/>
      <name val="Arial"/>
      <family val="2"/>
    </font>
    <font>
      <sz val="10"/>
      <color rgb="FF002060"/>
      <name val="Arial"/>
      <family val="2"/>
    </font>
    <font>
      <b/>
      <sz val="10"/>
      <color rgb="FF062948"/>
      <name val="Arial"/>
      <family val="2"/>
    </font>
    <font>
      <sz val="10"/>
      <color theme="3" tint="-0.499984740745262"/>
      <name val="Arial"/>
      <family val="2"/>
    </font>
    <font>
      <b/>
      <sz val="9"/>
      <name val="Calibri"/>
      <family val="2"/>
    </font>
    <font>
      <sz val="9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indexed="31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6"/>
      </patternFill>
    </fill>
    <fill>
      <patternFill patternType="solid">
        <fgColor indexed="9"/>
        <bgColor indexed="64"/>
      </patternFill>
    </fill>
  </fills>
  <borders count="167">
    <border>
      <left/>
      <right/>
      <top/>
      <bottom/>
      <diagonal/>
    </border>
    <border>
      <left/>
      <right style="thin">
        <color auto="1"/>
      </right>
      <top style="thin">
        <color theme="3" tint="-0.499984740745262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theme="3" tint="-0.499984740745262"/>
      </bottom>
      <diagonal/>
    </border>
    <border>
      <left style="thin">
        <color theme="3" tint="-0.499984740745262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/>
      <diagonal/>
    </border>
    <border>
      <left style="thin">
        <color theme="3" tint="-0.499984740745262"/>
      </left>
      <right style="thin">
        <color theme="3" tint="-0.499984740745262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theme="3" tint="-0.499984740745262"/>
      </left>
      <right style="thin">
        <color auto="1"/>
      </right>
      <top/>
      <bottom/>
      <diagonal/>
    </border>
    <border>
      <left style="thin">
        <color theme="3" tint="-0.499984740745262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rgb="FF000066"/>
      </top>
      <bottom/>
      <diagonal/>
    </border>
    <border>
      <left style="thin">
        <color auto="1"/>
      </left>
      <right style="thin">
        <color auto="1"/>
      </right>
      <top/>
      <bottom style="medium">
        <color rgb="FF000066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 style="thin">
        <color auto="1"/>
      </bottom>
      <diagonal/>
    </border>
    <border>
      <left/>
      <right style="thin">
        <color rgb="FF002060"/>
      </right>
      <top/>
      <bottom style="thin">
        <color auto="1"/>
      </bottom>
      <diagonal/>
    </border>
    <border>
      <left style="thin">
        <color rgb="FF002060"/>
      </left>
      <right style="thin">
        <color rgb="FF002060"/>
      </right>
      <top style="thin">
        <color auto="1"/>
      </top>
      <bottom style="thin">
        <color auto="1"/>
      </bottom>
      <diagonal/>
    </border>
    <border>
      <left/>
      <right style="thin">
        <color rgb="FF002060"/>
      </right>
      <top style="thin">
        <color theme="3" tint="-0.499984740745262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2060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2060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66"/>
      </right>
      <top style="thin">
        <color auto="1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/>
      <bottom style="thin">
        <color auto="1"/>
      </bottom>
      <diagonal/>
    </border>
    <border>
      <left style="thin">
        <color rgb="FF000066"/>
      </left>
      <right style="thin">
        <color rgb="FF000066"/>
      </right>
      <top style="thin">
        <color auto="1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/>
      <bottom/>
      <diagonal/>
    </border>
    <border>
      <left/>
      <right style="thin">
        <color theme="3" tint="-0.499984740745262"/>
      </right>
      <top/>
      <bottom/>
      <diagonal/>
    </border>
    <border>
      <left/>
      <right style="thin">
        <color theme="3" tint="-0.499984740745262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auto="1"/>
      </top>
      <bottom style="thin">
        <color auto="1"/>
      </bottom>
      <diagonal/>
    </border>
    <border>
      <left/>
      <right style="thin">
        <color theme="3" tint="-0.499984740745262"/>
      </right>
      <top/>
      <bottom style="thin">
        <color auto="1"/>
      </bottom>
      <diagonal/>
    </border>
    <border>
      <left/>
      <right style="thin">
        <color rgb="FF000066"/>
      </right>
      <top/>
      <bottom/>
      <diagonal/>
    </border>
    <border>
      <left style="thin">
        <color theme="3" tint="-0.499984740745262"/>
      </left>
      <right/>
      <top/>
      <bottom/>
      <diagonal/>
    </border>
    <border>
      <left style="thin">
        <color auto="1"/>
      </left>
      <right style="thin">
        <color rgb="FF000066"/>
      </right>
      <top style="thin">
        <color auto="1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theme="3" tint="-0.499984740745262"/>
      </right>
      <top style="thin">
        <color auto="1"/>
      </top>
      <bottom/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theme="3" tint="-0.499984740745262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auto="1"/>
      </left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 style="thin">
        <color auto="1"/>
      </top>
      <bottom/>
      <diagonal/>
    </border>
    <border>
      <left style="thin">
        <color theme="3" tint="-0.499984740745262"/>
      </left>
      <right/>
      <top/>
      <bottom style="thin">
        <color auto="1"/>
      </bottom>
      <diagonal/>
    </border>
    <border>
      <left/>
      <right/>
      <top/>
      <bottom style="thin">
        <color indexed="62"/>
      </bottom>
      <diagonal/>
    </border>
    <border>
      <left/>
      <right style="thin">
        <color indexed="62"/>
      </right>
      <top style="thin">
        <color indexed="62"/>
      </top>
      <bottom/>
      <diagonal/>
    </border>
    <border>
      <left style="thin">
        <color indexed="62"/>
      </left>
      <right style="thin">
        <color indexed="62"/>
      </right>
      <top style="thin">
        <color indexed="62"/>
      </top>
      <bottom/>
      <diagonal/>
    </border>
    <border>
      <left style="thin">
        <color indexed="62"/>
      </left>
      <right/>
      <top style="thin">
        <color indexed="62"/>
      </top>
      <bottom/>
      <diagonal/>
    </border>
    <border>
      <left/>
      <right/>
      <top style="thin">
        <color indexed="62"/>
      </top>
      <bottom/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thin">
        <color indexed="62"/>
      </left>
      <right/>
      <top/>
      <bottom style="thin">
        <color auto="1"/>
      </bottom>
      <diagonal/>
    </border>
    <border>
      <left/>
      <right style="thin">
        <color indexed="62"/>
      </right>
      <top/>
      <bottom style="thin">
        <color indexed="62"/>
      </bottom>
      <diagonal/>
    </border>
    <border>
      <left style="thin">
        <color indexed="62"/>
      </left>
      <right style="thin">
        <color indexed="62"/>
      </right>
      <top/>
      <bottom style="thin">
        <color indexed="62"/>
      </bottom>
      <diagonal/>
    </border>
    <border>
      <left/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/>
      <bottom style="thin">
        <color auto="1"/>
      </bottom>
      <diagonal/>
    </border>
    <border>
      <left/>
      <right style="thin">
        <color indexed="62"/>
      </right>
      <top style="thin">
        <color auto="1"/>
      </top>
      <bottom style="thin">
        <color auto="1"/>
      </bottom>
      <diagonal/>
    </border>
    <border>
      <left style="thin">
        <color indexed="62"/>
      </left>
      <right style="thin">
        <color indexed="62"/>
      </right>
      <top style="thin">
        <color auto="1"/>
      </top>
      <bottom style="thin">
        <color auto="1"/>
      </bottom>
      <diagonal/>
    </border>
    <border>
      <left/>
      <right style="thin">
        <color indexed="62"/>
      </right>
      <top style="thin">
        <color rgb="FF000066"/>
      </top>
      <bottom style="thin">
        <color rgb="FF000066"/>
      </bottom>
      <diagonal/>
    </border>
    <border>
      <left style="thin">
        <color indexed="62"/>
      </left>
      <right style="thin">
        <color indexed="62"/>
      </right>
      <top style="thin">
        <color rgb="FF000066"/>
      </top>
      <bottom style="thin">
        <color rgb="FF000066"/>
      </bottom>
      <diagonal/>
    </border>
    <border>
      <left/>
      <right style="thin">
        <color indexed="62"/>
      </right>
      <top/>
      <bottom style="thin">
        <color auto="1"/>
      </bottom>
      <diagonal/>
    </border>
    <border>
      <left style="thin">
        <color indexed="62"/>
      </left>
      <right/>
      <top/>
      <bottom/>
      <diagonal/>
    </border>
    <border>
      <left style="thin">
        <color indexed="62"/>
      </left>
      <right/>
      <top/>
      <bottom style="thin">
        <color indexed="62"/>
      </bottom>
      <diagonal/>
    </border>
    <border>
      <left style="thin">
        <color indexed="62"/>
      </left>
      <right/>
      <top style="thin">
        <color indexed="62"/>
      </top>
      <bottom style="thin">
        <color auto="1"/>
      </bottom>
      <diagonal/>
    </border>
    <border>
      <left style="thin">
        <color indexed="62"/>
      </left>
      <right/>
      <top style="thin">
        <color auto="1"/>
      </top>
      <bottom style="thin">
        <color auto="1"/>
      </bottom>
      <diagonal/>
    </border>
    <border>
      <left style="thin">
        <color indexed="62"/>
      </left>
      <right/>
      <top style="thin">
        <color indexed="62"/>
      </top>
      <bottom style="thin">
        <color indexed="62"/>
      </bottom>
      <diagonal/>
    </border>
    <border>
      <left style="thin">
        <color indexed="62"/>
      </left>
      <right/>
      <top style="thin">
        <color rgb="FF000066"/>
      </top>
      <bottom style="thin">
        <color rgb="FF000066"/>
      </bottom>
      <diagonal/>
    </border>
    <border>
      <left/>
      <right style="thin">
        <color theme="3" tint="-0.499984740745262"/>
      </right>
      <top style="medium">
        <color auto="1"/>
      </top>
      <bottom/>
      <diagonal/>
    </border>
    <border>
      <left style="thin">
        <color theme="3" tint="-0.499984740745262"/>
      </left>
      <right style="thin">
        <color theme="3" tint="-0.499984740745262"/>
      </right>
      <top style="medium">
        <color auto="1"/>
      </top>
      <bottom/>
      <diagonal/>
    </border>
    <border>
      <left style="thin">
        <color theme="3" tint="-0.499984740745262"/>
      </left>
      <right style="thin">
        <color theme="3" tint="-0.499984740745262"/>
      </right>
      <top style="medium">
        <color auto="1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2"/>
      </top>
      <bottom/>
      <diagonal/>
    </border>
    <border>
      <left style="thin">
        <color theme="3" tint="-0.499984740745262"/>
      </left>
      <right style="thin">
        <color theme="3" tint="-0.499984740745262"/>
      </right>
      <top style="medium">
        <color auto="1"/>
      </top>
      <bottom style="thin">
        <color auto="1"/>
      </bottom>
      <diagonal/>
    </border>
    <border>
      <left/>
      <right style="thin">
        <color theme="3" tint="-0.499984740745262"/>
      </right>
      <top/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indexed="62"/>
      </bottom>
      <diagonal/>
    </border>
    <border>
      <left/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/>
      <top style="medium">
        <color auto="1"/>
      </top>
      <bottom/>
      <diagonal/>
    </border>
    <border>
      <left style="thin">
        <color theme="3" tint="-0.499984740745262"/>
      </left>
      <right/>
      <top style="medium">
        <color auto="1"/>
      </top>
      <bottom style="thin">
        <color indexed="62"/>
      </bottom>
      <diagonal/>
    </border>
    <border>
      <left style="thin">
        <color theme="3" tint="-0.499984740745262"/>
      </left>
      <right/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2"/>
      </top>
      <bottom style="thin">
        <color auto="1"/>
      </bottom>
      <diagonal/>
    </border>
    <border>
      <left style="thin">
        <color theme="3" tint="-0.499984740745262"/>
      </left>
      <right/>
      <top style="thin">
        <color indexed="62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/>
      <bottom style="medium">
        <color rgb="FF000066"/>
      </bottom>
      <diagonal/>
    </border>
    <border>
      <left/>
      <right style="thin">
        <color indexed="62"/>
      </right>
      <top style="medium">
        <color rgb="FF000066"/>
      </top>
      <bottom style="medium">
        <color rgb="FF000066"/>
      </bottom>
      <diagonal/>
    </border>
    <border>
      <left style="thin">
        <color indexed="62"/>
      </left>
      <right style="thin">
        <color indexed="62"/>
      </right>
      <top style="medium">
        <color rgb="FF000066"/>
      </top>
      <bottom style="medium">
        <color rgb="FF000066"/>
      </bottom>
      <diagonal/>
    </border>
    <border>
      <left style="thin">
        <color indexed="62"/>
      </left>
      <right style="thin">
        <color auto="1"/>
      </right>
      <top/>
      <bottom/>
      <diagonal/>
    </border>
    <border>
      <left style="thin">
        <color theme="3" tint="-0.24994659260841701"/>
      </left>
      <right style="thin">
        <color theme="3" tint="-0.24994659260841701"/>
      </right>
      <top/>
      <bottom/>
      <diagonal/>
    </border>
    <border>
      <left/>
      <right/>
      <top style="thin">
        <color indexed="62"/>
      </top>
      <bottom style="thin">
        <color indexed="6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2"/>
      </left>
      <right style="thin">
        <color indexed="62"/>
      </right>
      <top style="medium">
        <color auto="1"/>
      </top>
      <bottom style="medium">
        <color auto="1"/>
      </bottom>
      <diagonal/>
    </border>
    <border>
      <left/>
      <right style="thin">
        <color indexed="62"/>
      </right>
      <top style="medium">
        <color auto="1"/>
      </top>
      <bottom style="medium">
        <color auto="1"/>
      </bottom>
      <diagonal/>
    </border>
    <border>
      <left style="thin">
        <color indexed="62"/>
      </left>
      <right/>
      <top style="medium">
        <color auto="1"/>
      </top>
      <bottom style="medium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 style="medium">
        <color auto="1"/>
      </top>
      <bottom style="medium">
        <color auto="1"/>
      </bottom>
      <diagonal/>
    </border>
    <border>
      <left/>
      <right style="thin">
        <color theme="3" tint="-0.499984740745262"/>
      </right>
      <top style="medium">
        <color theme="3" tint="-0.499984740745262"/>
      </top>
      <bottom/>
      <diagonal/>
    </border>
    <border>
      <left style="thin">
        <color theme="3" tint="-0.499984740745262"/>
      </left>
      <right/>
      <top style="medium">
        <color theme="3" tint="-0.499984740745262"/>
      </top>
      <bottom style="thin">
        <color auto="1"/>
      </bottom>
      <diagonal/>
    </border>
    <border>
      <left/>
      <right/>
      <top style="medium">
        <color theme="3" tint="-0.499984740745262"/>
      </top>
      <bottom style="thin">
        <color auto="1"/>
      </bottom>
      <diagonal/>
    </border>
    <border>
      <left/>
      <right style="thin">
        <color theme="3" tint="-0.499984740745262"/>
      </right>
      <top style="medium">
        <color theme="3" tint="-0.499984740745262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indexed="18"/>
      </bottom>
      <diagonal/>
    </border>
    <border>
      <left style="thin">
        <color theme="3" tint="-0.499984740745262"/>
      </left>
      <right/>
      <top style="medium">
        <color theme="3" tint="-0.499984740745262"/>
      </top>
      <bottom/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/>
      <right style="thin">
        <color theme="3" tint="-0.499984740745262"/>
      </right>
      <top/>
      <bottom style="thin">
        <color theme="3" tint="-0.499984740745262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 style="thin">
        <color rgb="FF002060"/>
      </top>
      <bottom style="thin">
        <color auto="1"/>
      </bottom>
      <diagonal/>
    </border>
    <border>
      <left/>
      <right/>
      <top style="thin">
        <color rgb="FF002060"/>
      </top>
      <bottom style="thin">
        <color auto="1"/>
      </bottom>
      <diagonal/>
    </border>
    <border>
      <left/>
      <right style="thin">
        <color rgb="FF002060"/>
      </right>
      <top style="thin">
        <color rgb="FF002060"/>
      </top>
      <bottom style="thin">
        <color auto="1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/>
      <bottom style="medium">
        <color theme="3" tint="-0.499984740745262"/>
      </bottom>
      <diagonal/>
    </border>
    <border>
      <left/>
      <right style="thin">
        <color rgb="FF000066"/>
      </right>
      <top style="medium">
        <color theme="3" tint="-0.499984740745262"/>
      </top>
      <bottom/>
      <diagonal/>
    </border>
    <border>
      <left style="thin">
        <color rgb="FF000066"/>
      </left>
      <right style="thin">
        <color rgb="FF000066"/>
      </right>
      <top style="medium">
        <color theme="3" tint="-0.499984740745262"/>
      </top>
      <bottom/>
      <diagonal/>
    </border>
    <border>
      <left style="thin">
        <color rgb="FF000066"/>
      </left>
      <right/>
      <top style="medium">
        <color theme="3" tint="-0.499984740745262"/>
      </top>
      <bottom style="thin">
        <color auto="1"/>
      </bottom>
      <diagonal/>
    </border>
    <border>
      <left/>
      <right style="thin">
        <color rgb="FF000066"/>
      </right>
      <top style="medium">
        <color theme="3" tint="-0.499984740745262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 style="medium">
        <color theme="3" tint="-0.499984740745262"/>
      </top>
      <bottom style="thin">
        <color theme="3" tint="-0.499984740745262"/>
      </bottom>
      <diagonal/>
    </border>
    <border>
      <left/>
      <right style="thin">
        <color rgb="FF000066"/>
      </right>
      <top/>
      <bottom style="medium">
        <color theme="3" tint="-0.499984740745262"/>
      </bottom>
      <diagonal/>
    </border>
    <border>
      <left style="thin">
        <color rgb="FF000066"/>
      </left>
      <right style="thin">
        <color rgb="FF000066"/>
      </right>
      <top/>
      <bottom style="medium">
        <color theme="3" tint="-0.499984740745262"/>
      </bottom>
      <diagonal/>
    </border>
    <border>
      <left/>
      <right style="thin">
        <color rgb="FF000066"/>
      </right>
      <top/>
      <bottom style="medium">
        <color rgb="FF000066"/>
      </bottom>
      <diagonal/>
    </border>
    <border>
      <left style="thin">
        <color rgb="FF000066"/>
      </left>
      <right/>
      <top/>
      <bottom/>
      <diagonal/>
    </border>
    <border>
      <left style="thin">
        <color rgb="FF000066"/>
      </left>
      <right/>
      <top style="medium">
        <color theme="3" tint="-0.499984740745262"/>
      </top>
      <bottom style="thin">
        <color theme="3" tint="-0.499984740745262"/>
      </bottom>
      <diagonal/>
    </border>
    <border>
      <left style="thin">
        <color rgb="FF000066"/>
      </left>
      <right/>
      <top style="thin">
        <color theme="3" tint="-0.499984740745262"/>
      </top>
      <bottom style="medium">
        <color theme="3" tint="-0.499984740745262"/>
      </bottom>
      <diagonal/>
    </border>
    <border>
      <left style="thin">
        <color rgb="FF000066"/>
      </left>
      <right/>
      <top style="medium">
        <color theme="3" tint="-0.499984740745262"/>
      </top>
      <bottom/>
      <diagonal/>
    </border>
    <border>
      <left style="thin">
        <color rgb="FF002060"/>
      </left>
      <right style="thin">
        <color auto="1"/>
      </right>
      <top/>
      <bottom/>
      <diagonal/>
    </border>
    <border>
      <left style="thin">
        <color rgb="FF000066"/>
      </left>
      <right/>
      <top/>
      <bottom style="medium">
        <color rgb="FF00006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3" tint="-0.499984740745262"/>
      </bottom>
      <diagonal/>
    </border>
    <border>
      <left style="thin">
        <color auto="1"/>
      </left>
      <right/>
      <top style="thin">
        <color auto="1"/>
      </top>
      <bottom style="thin">
        <color theme="3" tint="-0.499984740745262"/>
      </bottom>
      <diagonal/>
    </border>
    <border>
      <left/>
      <right/>
      <top style="thin">
        <color auto="1"/>
      </top>
      <bottom style="thin">
        <color theme="3" tint="-0.499984740745262"/>
      </bottom>
      <diagonal/>
    </border>
    <border>
      <left/>
      <right style="thin">
        <color rgb="FF002060"/>
      </right>
      <top style="thin">
        <color auto="1"/>
      </top>
      <bottom style="thin">
        <color theme="3" tint="-0.499984740745262"/>
      </bottom>
      <diagonal/>
    </border>
    <border>
      <left style="thin">
        <color rgb="FF002060"/>
      </left>
      <right style="thin">
        <color rgb="FF002060"/>
      </right>
      <top style="thin">
        <color auto="1"/>
      </top>
      <bottom style="thin">
        <color theme="3" tint="-0.499984740745262"/>
      </bottom>
      <diagonal/>
    </border>
    <border>
      <left style="thin">
        <color rgb="FF002060"/>
      </left>
      <right/>
      <top style="thin">
        <color auto="1"/>
      </top>
      <bottom style="thin">
        <color theme="3" tint="-0.499984740745262"/>
      </bottom>
      <diagonal/>
    </border>
    <border>
      <left style="thin">
        <color auto="1"/>
      </left>
      <right style="thin">
        <color auto="1"/>
      </right>
      <top style="thin">
        <color theme="3" tint="-0.499984740745262"/>
      </top>
      <bottom style="thin">
        <color auto="1"/>
      </bottom>
      <diagonal/>
    </border>
    <border>
      <left/>
      <right style="thin">
        <color theme="3" tint="-0.499984740745262"/>
      </right>
      <top style="thin">
        <color theme="3" tint="-0.499984740745262"/>
      </top>
      <bottom style="thin">
        <color auto="1"/>
      </bottom>
      <diagonal/>
    </border>
    <border>
      <left style="thin">
        <color rgb="FF002060"/>
      </left>
      <right style="thin">
        <color auto="1"/>
      </right>
      <top style="thin">
        <color theme="3" tint="-0.499984740745262"/>
      </top>
      <bottom style="thin">
        <color auto="1"/>
      </bottom>
      <diagonal/>
    </border>
    <border>
      <left style="thin">
        <color auto="1"/>
      </left>
      <right style="thin">
        <color rgb="FF002060"/>
      </right>
      <top/>
      <bottom/>
      <diagonal/>
    </border>
    <border>
      <left style="thin">
        <color auto="1"/>
      </left>
      <right style="thin">
        <color rgb="FF002060"/>
      </right>
      <top/>
      <bottom style="thin">
        <color auto="1"/>
      </bottom>
      <diagonal/>
    </border>
    <border>
      <left style="thin">
        <color rgb="FF002060"/>
      </left>
      <right style="thin">
        <color auto="1"/>
      </right>
      <top/>
      <bottom style="thin">
        <color auto="1"/>
      </bottom>
      <diagonal/>
    </border>
    <border>
      <left style="thin">
        <color rgb="FF002060"/>
      </left>
      <right/>
      <top/>
      <bottom style="thin">
        <color theme="3" tint="-0.499984740745262"/>
      </bottom>
      <diagonal/>
    </border>
    <border>
      <left style="thin">
        <color rgb="FF002060"/>
      </left>
      <right style="thin">
        <color rgb="FF002060"/>
      </right>
      <top/>
      <bottom style="thin">
        <color indexed="18"/>
      </bottom>
      <diagonal/>
    </border>
    <border>
      <left/>
      <right style="thin">
        <color rgb="FF002060"/>
      </right>
      <top style="thin">
        <color rgb="FF002060"/>
      </top>
      <bottom style="thin">
        <color indexed="62"/>
      </bottom>
      <diagonal/>
    </border>
    <border>
      <left/>
      <right style="thin">
        <color rgb="FF002060"/>
      </right>
      <top style="thin">
        <color indexed="62"/>
      </top>
      <bottom style="thin">
        <color indexed="62"/>
      </bottom>
      <diagonal/>
    </border>
    <border>
      <left style="thin">
        <color rgb="FF002060"/>
      </left>
      <right style="thin">
        <color rgb="FF002060"/>
      </right>
      <top style="thin">
        <color theme="3" tint="-0.499984740745262"/>
      </top>
      <bottom/>
      <diagonal/>
    </border>
    <border>
      <left style="thin">
        <color rgb="FF002060"/>
      </left>
      <right style="thin">
        <color rgb="FF002060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theme="3" tint="-0.499984740745262"/>
      </left>
      <right style="thin">
        <color indexed="64"/>
      </right>
      <top style="thin">
        <color auto="1"/>
      </top>
      <bottom/>
      <diagonal/>
    </border>
    <border>
      <left style="thin">
        <color theme="3" tint="-0.24994659260841701"/>
      </left>
      <right style="thin">
        <color theme="3" tint="-0.24994659260841701"/>
      </right>
      <top/>
      <bottom style="medium">
        <color theme="3" tint="-0.24994659260841701"/>
      </bottom>
      <diagonal/>
    </border>
    <border>
      <left style="thin">
        <color theme="3" tint="-0.499984740745262"/>
      </left>
      <right/>
      <top/>
      <bottom style="thin">
        <color indexed="62"/>
      </bottom>
      <diagonal/>
    </border>
    <border>
      <left style="thin">
        <color theme="3" tint="-0.499984740745262"/>
      </left>
      <right/>
      <top style="thin">
        <color indexed="64"/>
      </top>
      <bottom style="thin">
        <color indexed="64"/>
      </bottom>
      <diagonal/>
    </border>
    <border>
      <left style="thin">
        <color theme="3" tint="-0.24994659260841701"/>
      </left>
      <right/>
      <top style="medium">
        <color rgb="FF000066"/>
      </top>
      <bottom style="thin">
        <color indexed="64"/>
      </bottom>
      <diagonal/>
    </border>
    <border>
      <left style="thin">
        <color theme="3" tint="-0.24994659260841701"/>
      </left>
      <right/>
      <top/>
      <bottom/>
      <diagonal/>
    </border>
    <border>
      <left style="thin">
        <color indexed="62"/>
      </left>
      <right/>
      <top/>
      <bottom style="medium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indexed="62"/>
      </bottom>
      <diagonal/>
    </border>
    <border>
      <left style="thin">
        <color auto="1"/>
      </left>
      <right style="thin">
        <color auto="1"/>
      </right>
      <top style="thin">
        <color indexed="62"/>
      </top>
      <bottom style="thin">
        <color indexed="62"/>
      </bottom>
      <diagonal/>
    </border>
    <border>
      <left style="thin">
        <color auto="1"/>
      </left>
      <right/>
      <top style="thin">
        <color theme="3" tint="-0.499984740745262"/>
      </top>
      <bottom style="thin">
        <color theme="3" tint="-0.499984740745262"/>
      </bottom>
      <diagonal/>
    </border>
    <border>
      <left style="thin">
        <color auto="1"/>
      </left>
      <right style="thin">
        <color auto="1"/>
      </right>
      <top style="medium">
        <color rgb="FF000066"/>
      </top>
      <bottom style="medium">
        <color rgb="FF000066"/>
      </bottom>
      <diagonal/>
    </border>
    <border>
      <left style="thin">
        <color auto="1"/>
      </left>
      <right/>
      <top style="medium">
        <color rgb="FF000066"/>
      </top>
      <bottom style="medium">
        <color rgb="FF000066"/>
      </bottom>
      <diagonal/>
    </border>
    <border>
      <left style="thin">
        <color auto="1"/>
      </left>
      <right/>
      <top style="thin">
        <color indexed="62"/>
      </top>
      <bottom style="thin">
        <color indexed="62"/>
      </bottom>
      <diagonal/>
    </border>
    <border>
      <left style="thin">
        <color auto="1"/>
      </left>
      <right style="thin">
        <color auto="1"/>
      </right>
      <top style="thin">
        <color indexed="62"/>
      </top>
      <bottom/>
      <diagonal/>
    </border>
    <border>
      <left style="thin">
        <color auto="1"/>
      </left>
      <right/>
      <top/>
      <bottom style="medium">
        <color auto="1"/>
      </bottom>
      <diagonal/>
    </border>
  </borders>
  <cellStyleXfs count="6">
    <xf numFmtId="0" fontId="0" fillId="0" borderId="0"/>
    <xf numFmtId="164" fontId="39" fillId="0" borderId="0" applyFill="0" applyBorder="0" applyAlignment="0" applyProtection="0"/>
    <xf numFmtId="165" fontId="39" fillId="0" borderId="0" applyFill="0" applyBorder="0" applyAlignment="0" applyProtection="0"/>
    <xf numFmtId="0" fontId="39" fillId="0" borderId="0"/>
    <xf numFmtId="0" fontId="39" fillId="0" borderId="0"/>
    <xf numFmtId="0" fontId="62" fillId="0" borderId="0"/>
  </cellStyleXfs>
  <cellXfs count="789">
    <xf numFmtId="0" fontId="0" fillId="0" borderId="0" xfId="0"/>
    <xf numFmtId="3" fontId="0" fillId="0" borderId="0" xfId="0" applyNumberFormat="1"/>
    <xf numFmtId="3" fontId="1" fillId="0" borderId="0" xfId="0" applyNumberFormat="1" applyFont="1"/>
    <xf numFmtId="0" fontId="0" fillId="0" borderId="0" xfId="0" applyAlignment="1">
      <alignment horizontal="center"/>
    </xf>
    <xf numFmtId="0" fontId="2" fillId="0" borderId="0" xfId="0" applyFont="1"/>
    <xf numFmtId="0" fontId="0" fillId="0" borderId="8" xfId="0" applyBorder="1"/>
    <xf numFmtId="0" fontId="7" fillId="0" borderId="0" xfId="0" applyFont="1"/>
    <xf numFmtId="0" fontId="8" fillId="0" borderId="0" xfId="0" applyFont="1" applyAlignment="1">
      <alignment horizontal="center"/>
    </xf>
    <xf numFmtId="3" fontId="14" fillId="0" borderId="0" xfId="0" applyNumberFormat="1" applyFont="1"/>
    <xf numFmtId="4" fontId="0" fillId="0" borderId="0" xfId="0" applyNumberFormat="1"/>
    <xf numFmtId="0" fontId="5" fillId="0" borderId="0" xfId="0" applyFont="1"/>
    <xf numFmtId="0" fontId="16" fillId="0" borderId="0" xfId="0" applyFont="1"/>
    <xf numFmtId="0" fontId="18" fillId="0" borderId="0" xfId="0" applyFont="1"/>
    <xf numFmtId="0" fontId="7" fillId="4" borderId="13" xfId="0" applyFont="1" applyFill="1" applyBorder="1" applyAlignment="1">
      <alignment horizontal="center" vertical="center"/>
    </xf>
    <xf numFmtId="0" fontId="7" fillId="4" borderId="33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3" fontId="8" fillId="0" borderId="18" xfId="0" applyNumberFormat="1" applyFont="1" applyBorder="1"/>
    <xf numFmtId="3" fontId="8" fillId="0" borderId="34" xfId="0" applyNumberFormat="1" applyFont="1" applyBorder="1"/>
    <xf numFmtId="3" fontId="18" fillId="0" borderId="6" xfId="0" applyNumberFormat="1" applyFont="1" applyBorder="1"/>
    <xf numFmtId="3" fontId="18" fillId="0" borderId="35" xfId="0" applyNumberFormat="1" applyFont="1" applyBorder="1"/>
    <xf numFmtId="0" fontId="0" fillId="0" borderId="36" xfId="0" applyBorder="1" applyAlignment="1">
      <alignment horizontal="left" vertical="center" wrapText="1"/>
    </xf>
    <xf numFmtId="3" fontId="18" fillId="0" borderId="6" xfId="0" applyNumberFormat="1" applyFont="1" applyBorder="1" applyAlignment="1">
      <alignment vertical="center"/>
    </xf>
    <xf numFmtId="3" fontId="18" fillId="0" borderId="35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7" fillId="0" borderId="37" xfId="0" applyFont="1" applyBorder="1" applyAlignment="1">
      <alignment horizontal="center" vertical="center"/>
    </xf>
    <xf numFmtId="3" fontId="8" fillId="3" borderId="38" xfId="0" applyNumberFormat="1" applyFont="1" applyFill="1" applyBorder="1"/>
    <xf numFmtId="0" fontId="0" fillId="0" borderId="36" xfId="0" applyBorder="1" applyAlignment="1">
      <alignment wrapText="1"/>
    </xf>
    <xf numFmtId="3" fontId="18" fillId="3" borderId="6" xfId="0" applyNumberFormat="1" applyFont="1" applyFill="1" applyBorder="1"/>
    <xf numFmtId="3" fontId="18" fillId="3" borderId="35" xfId="0" applyNumberFormat="1" applyFont="1" applyFill="1" applyBorder="1"/>
    <xf numFmtId="3" fontId="19" fillId="0" borderId="35" xfId="0" applyNumberFormat="1" applyFont="1" applyBorder="1"/>
    <xf numFmtId="3" fontId="18" fillId="3" borderId="0" xfId="0" applyNumberFormat="1" applyFont="1" applyFill="1"/>
    <xf numFmtId="0" fontId="0" fillId="0" borderId="29" xfId="0" applyBorder="1"/>
    <xf numFmtId="0" fontId="0" fillId="0" borderId="13" xfId="0" applyBorder="1"/>
    <xf numFmtId="3" fontId="0" fillId="0" borderId="20" xfId="0" applyNumberFormat="1" applyBorder="1"/>
    <xf numFmtId="3" fontId="0" fillId="0" borderId="13" xfId="0" applyNumberFormat="1" applyBorder="1"/>
    <xf numFmtId="0" fontId="0" fillId="0" borderId="27" xfId="0" applyBorder="1"/>
    <xf numFmtId="0" fontId="0" fillId="0" borderId="11" xfId="0" applyBorder="1"/>
    <xf numFmtId="3" fontId="0" fillId="0" borderId="27" xfId="0" applyNumberFormat="1" applyBorder="1"/>
    <xf numFmtId="3" fontId="0" fillId="0" borderId="11" xfId="0" applyNumberFormat="1" applyBorder="1"/>
    <xf numFmtId="0" fontId="7" fillId="0" borderId="39" xfId="0" applyFont="1" applyBorder="1" applyAlignment="1">
      <alignment horizontal="center" vertical="center"/>
    </xf>
    <xf numFmtId="3" fontId="8" fillId="0" borderId="13" xfId="0" applyNumberFormat="1" applyFont="1" applyBorder="1"/>
    <xf numFmtId="3" fontId="8" fillId="0" borderId="20" xfId="0" applyNumberFormat="1" applyFont="1" applyBorder="1"/>
    <xf numFmtId="0" fontId="0" fillId="0" borderId="36" xfId="0" applyBorder="1" applyAlignment="1">
      <alignment horizontal="left" vertical="center"/>
    </xf>
    <xf numFmtId="3" fontId="19" fillId="0" borderId="0" xfId="0" applyNumberFormat="1" applyFont="1"/>
    <xf numFmtId="3" fontId="18" fillId="0" borderId="12" xfId="0" applyNumberFormat="1" applyFont="1" applyBorder="1"/>
    <xf numFmtId="3" fontId="18" fillId="0" borderId="40" xfId="0" applyNumberFormat="1" applyFont="1" applyBorder="1"/>
    <xf numFmtId="0" fontId="0" fillId="0" borderId="36" xfId="0" applyBorder="1" applyAlignment="1">
      <alignment vertical="center"/>
    </xf>
    <xf numFmtId="3" fontId="18" fillId="3" borderId="12" xfId="0" applyNumberFormat="1" applyFont="1" applyFill="1" applyBorder="1"/>
    <xf numFmtId="3" fontId="18" fillId="3" borderId="40" xfId="0" applyNumberFormat="1" applyFont="1" applyFill="1" applyBorder="1"/>
    <xf numFmtId="0" fontId="0" fillId="0" borderId="8" xfId="0" applyBorder="1" applyAlignment="1">
      <alignment horizontal="left" vertical="center" wrapText="1"/>
    </xf>
    <xf numFmtId="3" fontId="19" fillId="0" borderId="12" xfId="0" applyNumberFormat="1" applyFont="1" applyBorder="1"/>
    <xf numFmtId="0" fontId="12" fillId="0" borderId="0" xfId="0" applyFont="1"/>
    <xf numFmtId="0" fontId="14" fillId="0" borderId="0" xfId="0" applyFont="1" applyAlignment="1">
      <alignment horizontal="left" vertical="center" wrapText="1"/>
    </xf>
    <xf numFmtId="170" fontId="0" fillId="0" borderId="0" xfId="0" applyNumberFormat="1"/>
    <xf numFmtId="0" fontId="7" fillId="4" borderId="4" xfId="0" applyFont="1" applyFill="1" applyBorder="1" applyAlignment="1">
      <alignment horizontal="center" vertical="center" wrapText="1"/>
    </xf>
    <xf numFmtId="3" fontId="8" fillId="0" borderId="4" xfId="0" applyNumberFormat="1" applyFont="1" applyBorder="1"/>
    <xf numFmtId="171" fontId="18" fillId="0" borderId="35" xfId="0" applyNumberFormat="1" applyFont="1" applyBorder="1"/>
    <xf numFmtId="3" fontId="18" fillId="0" borderId="0" xfId="0" applyNumberFormat="1" applyFont="1"/>
    <xf numFmtId="171" fontId="18" fillId="0" borderId="35" xfId="0" applyNumberFormat="1" applyFont="1" applyBorder="1" applyAlignment="1">
      <alignment vertical="center" wrapText="1"/>
    </xf>
    <xf numFmtId="3" fontId="18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71" fontId="18" fillId="0" borderId="35" xfId="0" applyNumberFormat="1" applyFont="1" applyBorder="1" applyAlignment="1">
      <alignment vertical="center"/>
    </xf>
    <xf numFmtId="4" fontId="0" fillId="0" borderId="0" xfId="0" applyNumberFormat="1" applyAlignment="1">
      <alignment vertical="center"/>
    </xf>
    <xf numFmtId="3" fontId="8" fillId="0" borderId="33" xfId="0" applyNumberFormat="1" applyFont="1" applyBorder="1"/>
    <xf numFmtId="3" fontId="8" fillId="0" borderId="29" xfId="0" applyNumberFormat="1" applyFont="1" applyBorder="1"/>
    <xf numFmtId="3" fontId="2" fillId="0" borderId="0" xfId="0" applyNumberFormat="1" applyFont="1"/>
    <xf numFmtId="0" fontId="14" fillId="5" borderId="39" xfId="0" applyFont="1" applyFill="1" applyBorder="1" applyAlignment="1">
      <alignment horizontal="center" vertical="center" wrapText="1"/>
    </xf>
    <xf numFmtId="0" fontId="14" fillId="5" borderId="46" xfId="0" applyFont="1" applyFill="1" applyBorder="1" applyAlignment="1">
      <alignment horizontal="center" vertical="center" wrapText="1"/>
    </xf>
    <xf numFmtId="0" fontId="14" fillId="5" borderId="38" xfId="0" applyFont="1" applyFill="1" applyBorder="1" applyAlignment="1">
      <alignment horizontal="center" vertical="center"/>
    </xf>
    <xf numFmtId="0" fontId="14" fillId="5" borderId="47" xfId="0" applyFont="1" applyFill="1" applyBorder="1" applyAlignment="1">
      <alignment horizontal="center" vertical="center"/>
    </xf>
    <xf numFmtId="0" fontId="14" fillId="5" borderId="48" xfId="0" applyFont="1" applyFill="1" applyBorder="1" applyAlignment="1">
      <alignment horizontal="center" vertical="center"/>
    </xf>
    <xf numFmtId="0" fontId="14" fillId="5" borderId="46" xfId="0" applyFont="1" applyFill="1" applyBorder="1" applyAlignment="1">
      <alignment horizontal="center" vertical="center"/>
    </xf>
    <xf numFmtId="3" fontId="14" fillId="5" borderId="46" xfId="0" applyNumberFormat="1" applyFont="1" applyFill="1" applyBorder="1" applyAlignment="1">
      <alignment horizontal="center" vertical="center" wrapText="1"/>
    </xf>
    <xf numFmtId="0" fontId="12" fillId="6" borderId="36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/>
    </xf>
    <xf numFmtId="0" fontId="20" fillId="3" borderId="6" xfId="0" applyFont="1" applyFill="1" applyBorder="1" applyAlignment="1">
      <alignment horizontal="center" vertical="center"/>
    </xf>
    <xf numFmtId="0" fontId="20" fillId="3" borderId="49" xfId="0" applyFont="1" applyFill="1" applyBorder="1" applyAlignment="1">
      <alignment horizontal="center" vertical="center"/>
    </xf>
    <xf numFmtId="0" fontId="20" fillId="3" borderId="6" xfId="0" applyFont="1" applyFill="1" applyBorder="1" applyAlignment="1">
      <alignment horizontal="center" vertical="center" wrapText="1"/>
    </xf>
    <xf numFmtId="3" fontId="20" fillId="3" borderId="6" xfId="0" applyNumberFormat="1" applyFont="1" applyFill="1" applyBorder="1" applyAlignment="1">
      <alignment horizontal="center" vertical="center" wrapText="1"/>
    </xf>
    <xf numFmtId="0" fontId="14" fillId="0" borderId="36" xfId="0" applyFont="1" applyBorder="1"/>
    <xf numFmtId="0" fontId="7" fillId="0" borderId="6" xfId="0" applyFont="1" applyBorder="1" applyAlignment="1">
      <alignment horizontal="center" vertical="center"/>
    </xf>
    <xf numFmtId="3" fontId="7" fillId="0" borderId="6" xfId="0" applyNumberFormat="1" applyFont="1" applyBorder="1" applyAlignment="1">
      <alignment horizontal="right" vertical="center"/>
    </xf>
    <xf numFmtId="3" fontId="7" fillId="0" borderId="6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0" fontId="22" fillId="0" borderId="36" xfId="0" applyFont="1" applyBorder="1" applyAlignment="1">
      <alignment horizontal="center"/>
    </xf>
    <xf numFmtId="0" fontId="14" fillId="0" borderId="6" xfId="0" applyFont="1" applyBorder="1" applyAlignment="1">
      <alignment horizontal="center" vertical="center"/>
    </xf>
    <xf numFmtId="0" fontId="12" fillId="0" borderId="6" xfId="0" applyFont="1" applyBorder="1"/>
    <xf numFmtId="3" fontId="0" fillId="0" borderId="6" xfId="0" applyNumberFormat="1" applyBorder="1" applyAlignment="1">
      <alignment horizontal="right"/>
    </xf>
    <xf numFmtId="3" fontId="0" fillId="0" borderId="6" xfId="0" applyNumberFormat="1" applyBorder="1" applyAlignment="1">
      <alignment horizontal="center"/>
    </xf>
    <xf numFmtId="0" fontId="0" fillId="0" borderId="36" xfId="0" applyBorder="1" applyAlignment="1">
      <alignment horizontal="right"/>
    </xf>
    <xf numFmtId="3" fontId="0" fillId="0" borderId="6" xfId="0" applyNumberFormat="1" applyBorder="1"/>
    <xf numFmtId="0" fontId="12" fillId="0" borderId="6" xfId="0" applyFont="1" applyBorder="1" applyAlignment="1">
      <alignment horizontal="left"/>
    </xf>
    <xf numFmtId="3" fontId="7" fillId="0" borderId="6" xfId="0" applyNumberFormat="1" applyFont="1" applyBorder="1" applyAlignment="1">
      <alignment vertical="center"/>
    </xf>
    <xf numFmtId="0" fontId="7" fillId="0" borderId="36" xfId="0" applyFont="1" applyBorder="1" applyAlignment="1">
      <alignment horizontal="right"/>
    </xf>
    <xf numFmtId="49" fontId="0" fillId="0" borderId="36" xfId="0" applyNumberFormat="1" applyBorder="1" applyAlignment="1">
      <alignment horizontal="right"/>
    </xf>
    <xf numFmtId="49" fontId="7" fillId="0" borderId="36" xfId="0" applyNumberFormat="1" applyFont="1" applyBorder="1" applyAlignment="1">
      <alignment horizontal="right"/>
    </xf>
    <xf numFmtId="49" fontId="22" fillId="0" borderId="36" xfId="0" applyNumberFormat="1" applyFont="1" applyBorder="1" applyAlignment="1">
      <alignment horizontal="center"/>
    </xf>
    <xf numFmtId="49" fontId="7" fillId="0" borderId="39" xfId="0" applyNumberFormat="1" applyFont="1" applyBorder="1" applyAlignment="1">
      <alignment horizontal="right"/>
    </xf>
    <xf numFmtId="0" fontId="12" fillId="0" borderId="46" xfId="0" applyFont="1" applyBorder="1"/>
    <xf numFmtId="3" fontId="0" fillId="0" borderId="46" xfId="0" applyNumberFormat="1" applyBorder="1"/>
    <xf numFmtId="1" fontId="0" fillId="0" borderId="46" xfId="0" applyNumberFormat="1" applyBorder="1"/>
    <xf numFmtId="1" fontId="0" fillId="0" borderId="48" xfId="0" applyNumberFormat="1" applyBorder="1"/>
    <xf numFmtId="49" fontId="7" fillId="0" borderId="0" xfId="0" applyNumberFormat="1" applyFont="1" applyAlignment="1">
      <alignment horizontal="right"/>
    </xf>
    <xf numFmtId="0" fontId="14" fillId="0" borderId="0" xfId="0" applyFont="1" applyAlignment="1">
      <alignment horizontal="left"/>
    </xf>
    <xf numFmtId="3" fontId="20" fillId="0" borderId="0" xfId="0" applyNumberFormat="1" applyFont="1"/>
    <xf numFmtId="49" fontId="23" fillId="0" borderId="0" xfId="0" applyNumberFormat="1" applyFont="1"/>
    <xf numFmtId="3" fontId="17" fillId="0" borderId="0" xfId="0" applyNumberFormat="1" applyFont="1"/>
    <xf numFmtId="37" fontId="17" fillId="0" borderId="0" xfId="0" applyNumberFormat="1" applyFont="1" applyAlignment="1">
      <alignment horizontal="right"/>
    </xf>
    <xf numFmtId="3" fontId="17" fillId="0" borderId="0" xfId="0" applyNumberFormat="1" applyFont="1" applyAlignment="1">
      <alignment horizontal="right"/>
    </xf>
    <xf numFmtId="0" fontId="20" fillId="3" borderId="41" xfId="0" applyFont="1" applyFill="1" applyBorder="1" applyAlignment="1">
      <alignment horizontal="center" vertical="center" wrapText="1"/>
    </xf>
    <xf numFmtId="4" fontId="7" fillId="0" borderId="0" xfId="0" applyNumberFormat="1" applyFont="1"/>
    <xf numFmtId="172" fontId="0" fillId="0" borderId="0" xfId="0" applyNumberFormat="1"/>
    <xf numFmtId="0" fontId="20" fillId="0" borderId="0" xfId="0" applyFont="1"/>
    <xf numFmtId="1" fontId="0" fillId="0" borderId="0" xfId="0" applyNumberFormat="1"/>
    <xf numFmtId="0" fontId="14" fillId="5" borderId="61" xfId="0" applyFont="1" applyFill="1" applyBorder="1" applyAlignment="1">
      <alignment horizontal="center" vertical="center"/>
    </xf>
    <xf numFmtId="0" fontId="14" fillId="5" borderId="61" xfId="0" applyFont="1" applyFill="1" applyBorder="1" applyAlignment="1">
      <alignment horizontal="center" vertical="center" wrapText="1"/>
    </xf>
    <xf numFmtId="3" fontId="14" fillId="5" borderId="61" xfId="0" applyNumberFormat="1" applyFont="1" applyFill="1" applyBorder="1" applyAlignment="1">
      <alignment horizontal="center" vertical="center"/>
    </xf>
    <xf numFmtId="3" fontId="14" fillId="5" borderId="61" xfId="0" applyNumberFormat="1" applyFont="1" applyFill="1" applyBorder="1" applyAlignment="1">
      <alignment horizontal="center" vertical="center" wrapText="1"/>
    </xf>
    <xf numFmtId="3" fontId="7" fillId="0" borderId="62" xfId="0" applyNumberFormat="1" applyFont="1" applyBorder="1" applyAlignment="1">
      <alignment horizontal="left" vertical="center"/>
    </xf>
    <xf numFmtId="3" fontId="7" fillId="0" borderId="63" xfId="0" applyNumberFormat="1" applyFont="1" applyBorder="1" applyAlignment="1">
      <alignment horizontal="left" vertical="center"/>
    </xf>
    <xf numFmtId="3" fontId="7" fillId="0" borderId="63" xfId="0" applyNumberFormat="1" applyFont="1" applyBorder="1" applyAlignment="1">
      <alignment vertical="center"/>
    </xf>
    <xf numFmtId="3" fontId="7" fillId="0" borderId="57" xfId="0" applyNumberFormat="1" applyFont="1" applyBorder="1" applyAlignment="1">
      <alignment horizontal="left"/>
    </xf>
    <xf numFmtId="3" fontId="7" fillId="0" borderId="58" xfId="0" applyNumberFormat="1" applyFont="1" applyBorder="1" applyAlignment="1">
      <alignment horizontal="left"/>
    </xf>
    <xf numFmtId="3" fontId="7" fillId="0" borderId="58" xfId="0" applyNumberFormat="1" applyFont="1" applyBorder="1"/>
    <xf numFmtId="3" fontId="7" fillId="0" borderId="0" xfId="0" applyNumberFormat="1" applyFont="1"/>
    <xf numFmtId="3" fontId="0" fillId="0" borderId="57" xfId="0" applyNumberFormat="1" applyBorder="1" applyAlignment="1">
      <alignment horizontal="left"/>
    </xf>
    <xf numFmtId="3" fontId="0" fillId="0" borderId="58" xfId="0" applyNumberFormat="1" applyBorder="1" applyAlignment="1">
      <alignment horizontal="left"/>
    </xf>
    <xf numFmtId="3" fontId="0" fillId="0" borderId="58" xfId="0" applyNumberFormat="1" applyBorder="1"/>
    <xf numFmtId="0" fontId="0" fillId="0" borderId="64" xfId="0" applyBorder="1"/>
    <xf numFmtId="3" fontId="7" fillId="0" borderId="65" xfId="0" applyNumberFormat="1" applyFont="1" applyBorder="1" applyAlignment="1">
      <alignment horizontal="left" vertical="center"/>
    </xf>
    <xf numFmtId="3" fontId="7" fillId="0" borderId="66" xfId="0" applyNumberFormat="1" applyFont="1" applyBorder="1" applyAlignment="1">
      <alignment horizontal="left" vertical="center"/>
    </xf>
    <xf numFmtId="3" fontId="7" fillId="0" borderId="66" xfId="0" applyNumberFormat="1" applyFont="1" applyBorder="1" applyAlignment="1">
      <alignment vertical="center"/>
    </xf>
    <xf numFmtId="3" fontId="0" fillId="0" borderId="57" xfId="0" applyNumberFormat="1" applyBorder="1"/>
    <xf numFmtId="3" fontId="0" fillId="0" borderId="57" xfId="0" applyNumberFormat="1" applyBorder="1" applyAlignment="1">
      <alignment horizontal="left" vertical="center" wrapText="1"/>
    </xf>
    <xf numFmtId="3" fontId="0" fillId="0" borderId="58" xfId="0" applyNumberFormat="1" applyBorder="1" applyAlignment="1">
      <alignment vertical="center" wrapText="1"/>
    </xf>
    <xf numFmtId="0" fontId="0" fillId="0" borderId="0" xfId="0" applyAlignment="1">
      <alignment horizontal="left"/>
    </xf>
    <xf numFmtId="3" fontId="0" fillId="0" borderId="54" xfId="0" applyNumberFormat="1" applyBorder="1"/>
    <xf numFmtId="0" fontId="0" fillId="0" borderId="57" xfId="0" applyBorder="1"/>
    <xf numFmtId="0" fontId="0" fillId="0" borderId="61" xfId="0" applyBorder="1"/>
    <xf numFmtId="0" fontId="0" fillId="0" borderId="58" xfId="0" applyBorder="1"/>
    <xf numFmtId="3" fontId="7" fillId="0" borderId="64" xfId="0" applyNumberFormat="1" applyFont="1" applyBorder="1" applyAlignment="1">
      <alignment vertical="center"/>
    </xf>
    <xf numFmtId="3" fontId="0" fillId="0" borderId="67" xfId="0" applyNumberFormat="1" applyBorder="1" applyAlignment="1">
      <alignment horizontal="left"/>
    </xf>
    <xf numFmtId="3" fontId="24" fillId="0" borderId="68" xfId="0" applyNumberFormat="1" applyFont="1" applyBorder="1" applyAlignment="1">
      <alignment horizontal="left" vertical="center"/>
    </xf>
    <xf numFmtId="3" fontId="24" fillId="0" borderId="68" xfId="0" applyNumberFormat="1" applyFont="1" applyBorder="1" applyAlignment="1">
      <alignment vertical="center"/>
    </xf>
    <xf numFmtId="3" fontId="0" fillId="0" borderId="0" xfId="0" applyNumberFormat="1" applyAlignment="1">
      <alignment horizontal="left"/>
    </xf>
    <xf numFmtId="3" fontId="24" fillId="0" borderId="0" xfId="0" applyNumberFormat="1" applyFont="1" applyAlignment="1">
      <alignment horizontal="left" vertical="center"/>
    </xf>
    <xf numFmtId="3" fontId="24" fillId="0" borderId="0" xfId="0" applyNumberFormat="1" applyFont="1" applyAlignment="1">
      <alignment vertical="center"/>
    </xf>
    <xf numFmtId="0" fontId="14" fillId="0" borderId="0" xfId="0" applyFont="1"/>
    <xf numFmtId="171" fontId="0" fillId="0" borderId="58" xfId="0" applyNumberFormat="1" applyBorder="1"/>
    <xf numFmtId="168" fontId="0" fillId="0" borderId="0" xfId="0" applyNumberFormat="1"/>
    <xf numFmtId="0" fontId="6" fillId="0" borderId="0" xfId="0" applyFont="1"/>
    <xf numFmtId="0" fontId="25" fillId="0" borderId="0" xfId="0" applyFont="1"/>
    <xf numFmtId="0" fontId="14" fillId="5" borderId="80" xfId="0" applyFont="1" applyFill="1" applyBorder="1" applyAlignment="1">
      <alignment horizontal="center" vertical="center" wrapText="1"/>
    </xf>
    <xf numFmtId="3" fontId="14" fillId="5" borderId="80" xfId="0" applyNumberFormat="1" applyFont="1" applyFill="1" applyBorder="1" applyAlignment="1">
      <alignment horizontal="center" vertical="center" wrapText="1"/>
    </xf>
    <xf numFmtId="3" fontId="7" fillId="0" borderId="81" xfId="0" applyNumberFormat="1" applyFont="1" applyBorder="1" applyAlignment="1">
      <alignment horizontal="left" vertical="center"/>
    </xf>
    <xf numFmtId="3" fontId="14" fillId="0" borderId="82" xfId="0" applyNumberFormat="1" applyFont="1" applyBorder="1" applyAlignment="1">
      <alignment horizontal="left" vertical="center"/>
    </xf>
    <xf numFmtId="3" fontId="14" fillId="0" borderId="82" xfId="0" applyNumberFormat="1" applyFont="1" applyBorder="1" applyAlignment="1">
      <alignment vertical="center"/>
    </xf>
    <xf numFmtId="3" fontId="14" fillId="0" borderId="36" xfId="0" applyNumberFormat="1" applyFont="1" applyBorder="1" applyAlignment="1">
      <alignment horizontal="left"/>
    </xf>
    <xf numFmtId="3" fontId="14" fillId="0" borderId="6" xfId="0" applyNumberFormat="1" applyFont="1" applyBorder="1" applyAlignment="1">
      <alignment horizontal="left"/>
    </xf>
    <xf numFmtId="3" fontId="14" fillId="0" borderId="6" xfId="0" applyNumberFormat="1" applyFont="1" applyBorder="1"/>
    <xf numFmtId="3" fontId="12" fillId="0" borderId="36" xfId="0" applyNumberFormat="1" applyFont="1" applyBorder="1" applyAlignment="1">
      <alignment horizontal="left"/>
    </xf>
    <xf numFmtId="3" fontId="12" fillId="0" borderId="6" xfId="0" applyNumberFormat="1" applyFont="1" applyBorder="1" applyAlignment="1">
      <alignment horizontal="left"/>
    </xf>
    <xf numFmtId="3" fontId="12" fillId="0" borderId="6" xfId="0" applyNumberFormat="1" applyFont="1" applyBorder="1"/>
    <xf numFmtId="49" fontId="14" fillId="0" borderId="36" xfId="0" applyNumberFormat="1" applyFont="1" applyBorder="1" applyAlignment="1">
      <alignment horizontal="left"/>
    </xf>
    <xf numFmtId="49" fontId="12" fillId="0" borderId="36" xfId="0" applyNumberFormat="1" applyFont="1" applyBorder="1" applyAlignment="1">
      <alignment horizontal="left"/>
    </xf>
    <xf numFmtId="3" fontId="7" fillId="0" borderId="83" xfId="0" applyNumberFormat="1" applyFont="1" applyBorder="1" applyAlignment="1">
      <alignment horizontal="left" vertical="center"/>
    </xf>
    <xf numFmtId="3" fontId="14" fillId="0" borderId="84" xfId="0" applyNumberFormat="1" applyFont="1" applyBorder="1" applyAlignment="1">
      <alignment horizontal="left" vertical="center"/>
    </xf>
    <xf numFmtId="3" fontId="14" fillId="0" borderId="84" xfId="0" applyNumberFormat="1" applyFont="1" applyBorder="1" applyAlignment="1">
      <alignment vertical="center"/>
    </xf>
    <xf numFmtId="3" fontId="12" fillId="0" borderId="36" xfId="0" applyNumberFormat="1" applyFont="1" applyBorder="1"/>
    <xf numFmtId="3" fontId="14" fillId="0" borderId="36" xfId="0" applyNumberFormat="1" applyFont="1" applyBorder="1"/>
    <xf numFmtId="0" fontId="0" fillId="3" borderId="0" xfId="0" applyFill="1"/>
    <xf numFmtId="3" fontId="14" fillId="0" borderId="36" xfId="0" applyNumberFormat="1" applyFont="1" applyBorder="1" applyAlignment="1">
      <alignment horizontal="left" vertical="center" wrapText="1"/>
    </xf>
    <xf numFmtId="3" fontId="14" fillId="0" borderId="6" xfId="0" applyNumberFormat="1" applyFont="1" applyBorder="1" applyAlignment="1">
      <alignment vertical="center" wrapText="1"/>
    </xf>
    <xf numFmtId="3" fontId="12" fillId="0" borderId="36" xfId="0" applyNumberFormat="1" applyFont="1" applyBorder="1" applyAlignment="1">
      <alignment horizontal="left" vertical="center" wrapText="1"/>
    </xf>
    <xf numFmtId="3" fontId="12" fillId="0" borderId="6" xfId="0" applyNumberFormat="1" applyFont="1" applyBorder="1" applyAlignment="1">
      <alignment vertical="center" wrapText="1"/>
    </xf>
    <xf numFmtId="3" fontId="14" fillId="0" borderId="0" xfId="0" applyNumberFormat="1" applyFont="1" applyAlignment="1">
      <alignment horizontal="left"/>
    </xf>
    <xf numFmtId="3" fontId="12" fillId="0" borderId="0" xfId="0" applyNumberFormat="1" applyFont="1" applyAlignment="1">
      <alignment horizontal="left"/>
    </xf>
    <xf numFmtId="3" fontId="12" fillId="0" borderId="0" xfId="0" applyNumberFormat="1" applyFont="1"/>
    <xf numFmtId="0" fontId="12" fillId="0" borderId="0" xfId="0" applyFont="1" applyAlignment="1">
      <alignment horizontal="left"/>
    </xf>
    <xf numFmtId="3" fontId="12" fillId="0" borderId="35" xfId="0" applyNumberFormat="1" applyFont="1" applyBorder="1" applyAlignment="1">
      <alignment horizontal="left"/>
    </xf>
    <xf numFmtId="0" fontId="12" fillId="0" borderId="35" xfId="0" applyFont="1" applyBorder="1"/>
    <xf numFmtId="3" fontId="12" fillId="0" borderId="90" xfId="0" applyNumberFormat="1" applyFont="1" applyBorder="1" applyAlignment="1">
      <alignment horizontal="left"/>
    </xf>
    <xf numFmtId="3" fontId="12" fillId="0" borderId="90" xfId="0" applyNumberFormat="1" applyFont="1" applyBorder="1"/>
    <xf numFmtId="3" fontId="14" fillId="0" borderId="91" xfId="0" applyNumberFormat="1" applyFont="1" applyBorder="1" applyAlignment="1">
      <alignment horizontal="left" vertical="center"/>
    </xf>
    <xf numFmtId="3" fontId="14" fillId="0" borderId="92" xfId="0" applyNumberFormat="1" applyFont="1" applyBorder="1" applyAlignment="1">
      <alignment vertical="center"/>
    </xf>
    <xf numFmtId="3" fontId="14" fillId="0" borderId="57" xfId="0" applyNumberFormat="1" applyFont="1" applyBorder="1" applyAlignment="1">
      <alignment horizontal="left" vertical="center"/>
    </xf>
    <xf numFmtId="3" fontId="14" fillId="0" borderId="58" xfId="0" applyNumberFormat="1" applyFont="1" applyBorder="1" applyAlignment="1">
      <alignment vertical="center"/>
    </xf>
    <xf numFmtId="3" fontId="14" fillId="0" borderId="57" xfId="0" applyNumberFormat="1" applyFont="1" applyBorder="1" applyAlignment="1">
      <alignment vertical="center"/>
    </xf>
    <xf numFmtId="3" fontId="12" fillId="0" borderId="58" xfId="0" applyNumberFormat="1" applyFont="1" applyBorder="1"/>
    <xf numFmtId="3" fontId="12" fillId="0" borderId="58" xfId="0" applyNumberFormat="1" applyFont="1" applyBorder="1" applyAlignment="1">
      <alignment horizontal="left"/>
    </xf>
    <xf numFmtId="3" fontId="14" fillId="0" borderId="58" xfId="0" applyNumberFormat="1" applyFont="1" applyBorder="1"/>
    <xf numFmtId="3" fontId="14" fillId="0" borderId="0" xfId="0" applyNumberFormat="1" applyFont="1" applyAlignment="1">
      <alignment vertical="center"/>
    </xf>
    <xf numFmtId="3" fontId="12" fillId="0" borderId="57" xfId="0" applyNumberFormat="1" applyFont="1" applyBorder="1"/>
    <xf numFmtId="3" fontId="12" fillId="0" borderId="12" xfId="0" applyNumberFormat="1" applyFont="1" applyBorder="1"/>
    <xf numFmtId="3" fontId="28" fillId="0" borderId="0" xfId="0" applyNumberFormat="1" applyFont="1"/>
    <xf numFmtId="3" fontId="12" fillId="0" borderId="93" xfId="0" applyNumberFormat="1" applyFont="1" applyBorder="1" applyAlignment="1">
      <alignment horizontal="left"/>
    </xf>
    <xf numFmtId="3" fontId="14" fillId="0" borderId="93" xfId="0" applyNumberFormat="1" applyFont="1" applyBorder="1" applyAlignment="1">
      <alignment vertical="center"/>
    </xf>
    <xf numFmtId="3" fontId="14" fillId="0" borderId="70" xfId="0" applyNumberFormat="1" applyFont="1" applyBorder="1" applyAlignment="1">
      <alignment vertical="center"/>
    </xf>
    <xf numFmtId="3" fontId="14" fillId="0" borderId="94" xfId="0" applyNumberFormat="1" applyFont="1" applyBorder="1"/>
    <xf numFmtId="3" fontId="12" fillId="0" borderId="94" xfId="0" applyNumberFormat="1" applyFont="1" applyBorder="1" applyAlignment="1">
      <alignment horizontal="left"/>
    </xf>
    <xf numFmtId="3" fontId="12" fillId="0" borderId="94" xfId="0" applyNumberFormat="1" applyFont="1" applyBorder="1"/>
    <xf numFmtId="0" fontId="12" fillId="0" borderId="94" xfId="0" applyFont="1" applyBorder="1"/>
    <xf numFmtId="3" fontId="14" fillId="0" borderId="95" xfId="0" applyNumberFormat="1" applyFont="1" applyBorder="1" applyAlignment="1">
      <alignment horizontal="left" vertical="center"/>
    </xf>
    <xf numFmtId="3" fontId="14" fillId="0" borderId="63" xfId="0" applyNumberFormat="1" applyFont="1" applyBorder="1" applyAlignment="1">
      <alignment vertical="center"/>
    </xf>
    <xf numFmtId="3" fontId="14" fillId="0" borderId="63" xfId="0" applyNumberFormat="1" applyFont="1" applyBorder="1" applyAlignment="1">
      <alignment horizontal="left" vertical="center"/>
    </xf>
    <xf numFmtId="3" fontId="14" fillId="0" borderId="58" xfId="0" applyNumberFormat="1" applyFont="1" applyBorder="1" applyAlignment="1">
      <alignment horizontal="left"/>
    </xf>
    <xf numFmtId="3" fontId="12" fillId="0" borderId="96" xfId="0" applyNumberFormat="1" applyFont="1" applyBorder="1" applyAlignment="1">
      <alignment horizontal="left"/>
    </xf>
    <xf numFmtId="3" fontId="7" fillId="0" borderId="97" xfId="0" applyNumberFormat="1" applyFont="1" applyBorder="1" applyAlignment="1">
      <alignment horizontal="left" vertical="center"/>
    </xf>
    <xf numFmtId="3" fontId="7" fillId="0" borderId="97" xfId="0" applyNumberFormat="1" applyFont="1" applyBorder="1" applyAlignment="1">
      <alignment vertical="center"/>
    </xf>
    <xf numFmtId="4" fontId="6" fillId="0" borderId="0" xfId="0" applyNumberFormat="1" applyFont="1"/>
    <xf numFmtId="3" fontId="6" fillId="0" borderId="0" xfId="0" applyNumberFormat="1" applyFont="1"/>
    <xf numFmtId="4" fontId="30" fillId="0" borderId="0" xfId="0" applyNumberFormat="1" applyFont="1" applyAlignment="1">
      <alignment vertical="center"/>
    </xf>
    <xf numFmtId="3" fontId="7" fillId="0" borderId="100" xfId="0" applyNumberFormat="1" applyFont="1" applyBorder="1" applyAlignment="1">
      <alignment vertical="center"/>
    </xf>
    <xf numFmtId="168" fontId="7" fillId="0" borderId="99" xfId="0" applyNumberFormat="1" applyFont="1" applyBorder="1" applyAlignment="1">
      <alignment horizontal="center" vertical="center"/>
    </xf>
    <xf numFmtId="3" fontId="31" fillId="0" borderId="0" xfId="0" applyNumberFormat="1" applyFont="1"/>
    <xf numFmtId="4" fontId="1" fillId="0" borderId="0" xfId="0" applyNumberFormat="1" applyFont="1"/>
    <xf numFmtId="0" fontId="32" fillId="0" borderId="0" xfId="0" applyFont="1" applyAlignment="1">
      <alignment horizontal="center"/>
    </xf>
    <xf numFmtId="0" fontId="32" fillId="0" borderId="0" xfId="0" applyFont="1"/>
    <xf numFmtId="0" fontId="33" fillId="0" borderId="0" xfId="0" applyFont="1"/>
    <xf numFmtId="0" fontId="14" fillId="5" borderId="2" xfId="0" applyFont="1" applyFill="1" applyBorder="1" applyAlignment="1">
      <alignment horizontal="center" vertical="center"/>
    </xf>
    <xf numFmtId="0" fontId="14" fillId="5" borderId="105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 wrapText="1"/>
    </xf>
    <xf numFmtId="0" fontId="24" fillId="0" borderId="36" xfId="0" applyFont="1" applyBorder="1"/>
    <xf numFmtId="3" fontId="24" fillId="0" borderId="36" xfId="0" applyNumberFormat="1" applyFont="1" applyBorder="1"/>
    <xf numFmtId="3" fontId="24" fillId="0" borderId="6" xfId="0" applyNumberFormat="1" applyFont="1" applyBorder="1"/>
    <xf numFmtId="3" fontId="9" fillId="0" borderId="6" xfId="0" applyNumberFormat="1" applyFont="1" applyBorder="1"/>
    <xf numFmtId="0" fontId="34" fillId="0" borderId="36" xfId="0" applyFont="1" applyBorder="1"/>
    <xf numFmtId="3" fontId="34" fillId="0" borderId="6" xfId="0" applyNumberFormat="1" applyFont="1" applyBorder="1"/>
    <xf numFmtId="3" fontId="35" fillId="0" borderId="6" xfId="0" applyNumberFormat="1" applyFont="1" applyBorder="1"/>
    <xf numFmtId="3" fontId="36" fillId="0" borderId="6" xfId="0" applyNumberFormat="1" applyFont="1" applyBorder="1"/>
    <xf numFmtId="3" fontId="34" fillId="0" borderId="36" xfId="0" applyNumberFormat="1" applyFont="1" applyBorder="1"/>
    <xf numFmtId="0" fontId="24" fillId="0" borderId="36" xfId="0" applyFont="1" applyBorder="1" applyAlignment="1">
      <alignment horizontal="center" vertical="center"/>
    </xf>
    <xf numFmtId="3" fontId="24" fillId="0" borderId="6" xfId="0" applyNumberFormat="1" applyFont="1" applyBorder="1" applyAlignment="1">
      <alignment vertical="center"/>
    </xf>
    <xf numFmtId="0" fontId="9" fillId="0" borderId="36" xfId="0" applyFont="1" applyBorder="1"/>
    <xf numFmtId="3" fontId="24" fillId="0" borderId="6" xfId="0" applyNumberFormat="1" applyFont="1" applyBorder="1" applyAlignment="1">
      <alignment horizontal="center"/>
    </xf>
    <xf numFmtId="0" fontId="24" fillId="0" borderId="39" xfId="0" applyFont="1" applyBorder="1"/>
    <xf numFmtId="3" fontId="34" fillId="0" borderId="46" xfId="0" applyNumberFormat="1" applyFont="1" applyBorder="1"/>
    <xf numFmtId="0" fontId="24" fillId="0" borderId="0" xfId="0" applyFont="1"/>
    <xf numFmtId="3" fontId="24" fillId="0" borderId="0" xfId="0" applyNumberFormat="1" applyFont="1"/>
    <xf numFmtId="4" fontId="24" fillId="0" borderId="0" xfId="0" applyNumberFormat="1" applyFont="1"/>
    <xf numFmtId="0" fontId="8" fillId="0" borderId="0" xfId="0" applyFont="1"/>
    <xf numFmtId="0" fontId="3" fillId="0" borderId="0" xfId="0" applyFont="1"/>
    <xf numFmtId="3" fontId="25" fillId="0" borderId="0" xfId="0" applyNumberFormat="1" applyFont="1"/>
    <xf numFmtId="170" fontId="24" fillId="0" borderId="41" xfId="0" applyNumberFormat="1" applyFont="1" applyBorder="1" applyAlignment="1">
      <alignment horizontal="center"/>
    </xf>
    <xf numFmtId="170" fontId="9" fillId="0" borderId="41" xfId="0" applyNumberFormat="1" applyFont="1" applyBorder="1" applyAlignment="1">
      <alignment horizontal="center"/>
    </xf>
    <xf numFmtId="170" fontId="34" fillId="0" borderId="41" xfId="0" applyNumberFormat="1" applyFont="1" applyBorder="1" applyAlignment="1">
      <alignment horizontal="center"/>
    </xf>
    <xf numFmtId="170" fontId="24" fillId="0" borderId="41" xfId="0" applyNumberFormat="1" applyFont="1" applyBorder="1" applyAlignment="1">
      <alignment horizontal="center" vertical="center"/>
    </xf>
    <xf numFmtId="0" fontId="39" fillId="0" borderId="0" xfId="0" applyFont="1"/>
    <xf numFmtId="3" fontId="40" fillId="0" borderId="0" xfId="0" applyNumberFormat="1" applyFont="1"/>
    <xf numFmtId="170" fontId="34" fillId="0" borderId="51" xfId="0" applyNumberFormat="1" applyFont="1" applyBorder="1" applyAlignment="1">
      <alignment horizontal="center"/>
    </xf>
    <xf numFmtId="170" fontId="24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3" fontId="15" fillId="0" borderId="0" xfId="0" applyNumberFormat="1" applyFont="1"/>
    <xf numFmtId="0" fontId="14" fillId="5" borderId="114" xfId="0" applyFont="1" applyFill="1" applyBorder="1" applyAlignment="1">
      <alignment horizontal="center"/>
    </xf>
    <xf numFmtId="0" fontId="14" fillId="5" borderId="24" xfId="0" applyFont="1" applyFill="1" applyBorder="1" applyAlignment="1">
      <alignment horizontal="center" vertical="center" wrapText="1"/>
    </xf>
    <xf numFmtId="0" fontId="14" fillId="5" borderId="23" xfId="0" applyFont="1" applyFill="1" applyBorder="1" applyAlignment="1">
      <alignment horizontal="center" vertical="center" wrapText="1"/>
    </xf>
    <xf numFmtId="0" fontId="14" fillId="5" borderId="23" xfId="0" applyFont="1" applyFill="1" applyBorder="1" applyAlignment="1">
      <alignment horizontal="center" vertical="center"/>
    </xf>
    <xf numFmtId="0" fontId="14" fillId="5" borderId="25" xfId="0" applyFont="1" applyFill="1" applyBorder="1" applyAlignment="1">
      <alignment horizontal="center"/>
    </xf>
    <xf numFmtId="0" fontId="10" fillId="6" borderId="21" xfId="0" applyFont="1" applyFill="1" applyBorder="1" applyAlignment="1">
      <alignment horizontal="center" vertical="center" wrapText="1"/>
    </xf>
    <xf numFmtId="0" fontId="10" fillId="6" borderId="22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horizontal="center" vertical="center" wrapText="1"/>
    </xf>
    <xf numFmtId="0" fontId="10" fillId="3" borderId="22" xfId="0" applyFont="1" applyFill="1" applyBorder="1"/>
    <xf numFmtId="0" fontId="10" fillId="3" borderId="22" xfId="0" applyFont="1" applyFill="1" applyBorder="1" applyAlignment="1">
      <alignment horizontal="center"/>
    </xf>
    <xf numFmtId="0" fontId="9" fillId="0" borderId="21" xfId="0" applyFont="1" applyBorder="1" applyAlignment="1">
      <alignment horizontal="center"/>
    </xf>
    <xf numFmtId="0" fontId="37" fillId="0" borderId="22" xfId="0" applyFont="1" applyBorder="1" applyAlignment="1">
      <alignment horizontal="center"/>
    </xf>
    <xf numFmtId="0" fontId="37" fillId="0" borderId="22" xfId="0" applyFont="1" applyBorder="1"/>
    <xf numFmtId="0" fontId="24" fillId="0" borderId="21" xfId="0" applyFont="1" applyBorder="1"/>
    <xf numFmtId="0" fontId="24" fillId="0" borderId="22" xfId="0" applyFont="1" applyBorder="1"/>
    <xf numFmtId="170" fontId="24" fillId="0" borderId="22" xfId="0" applyNumberFormat="1" applyFont="1" applyBorder="1"/>
    <xf numFmtId="173" fontId="24" fillId="0" borderId="22" xfId="0" applyNumberFormat="1" applyFont="1" applyBorder="1"/>
    <xf numFmtId="0" fontId="37" fillId="0" borderId="21" xfId="0" applyFont="1" applyBorder="1"/>
    <xf numFmtId="170" fontId="37" fillId="0" borderId="22" xfId="0" applyNumberFormat="1" applyFont="1" applyBorder="1"/>
    <xf numFmtId="170" fontId="34" fillId="0" borderId="22" xfId="0" applyNumberFormat="1" applyFont="1" applyBorder="1"/>
    <xf numFmtId="0" fontId="34" fillId="0" borderId="21" xfId="0" applyFont="1" applyBorder="1"/>
    <xf numFmtId="173" fontId="34" fillId="0" borderId="22" xfId="0" applyNumberFormat="1" applyFont="1" applyBorder="1"/>
    <xf numFmtId="173" fontId="37" fillId="0" borderId="22" xfId="0" applyNumberFormat="1" applyFont="1" applyBorder="1"/>
    <xf numFmtId="0" fontId="34" fillId="0" borderId="22" xfId="0" applyFont="1" applyBorder="1"/>
    <xf numFmtId="0" fontId="34" fillId="0" borderId="22" xfId="0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34" fillId="0" borderId="23" xfId="0" applyFont="1" applyBorder="1" applyAlignment="1">
      <alignment horizontal="center"/>
    </xf>
    <xf numFmtId="174" fontId="34" fillId="0" borderId="23" xfId="0" applyNumberFormat="1" applyFont="1" applyBorder="1"/>
    <xf numFmtId="170" fontId="34" fillId="0" borderId="23" xfId="0" applyNumberFormat="1" applyFont="1" applyBorder="1"/>
    <xf numFmtId="173" fontId="9" fillId="0" borderId="23" xfId="0" applyNumberFormat="1" applyFont="1" applyBorder="1"/>
    <xf numFmtId="0" fontId="7" fillId="0" borderId="27" xfId="0" applyFont="1" applyBorder="1"/>
    <xf numFmtId="2" fontId="7" fillId="0" borderId="27" xfId="0" applyNumberFormat="1" applyFont="1" applyBorder="1"/>
    <xf numFmtId="170" fontId="7" fillId="0" borderId="0" xfId="0" applyNumberFormat="1" applyFont="1"/>
    <xf numFmtId="170" fontId="8" fillId="0" borderId="0" xfId="0" applyNumberFormat="1" applyFont="1"/>
    <xf numFmtId="170" fontId="41" fillId="0" borderId="0" xfId="0" applyNumberFormat="1" applyFont="1"/>
    <xf numFmtId="49" fontId="42" fillId="0" borderId="0" xfId="0" applyNumberFormat="1" applyFont="1"/>
    <xf numFmtId="0" fontId="41" fillId="0" borderId="0" xfId="0" applyFont="1"/>
    <xf numFmtId="2" fontId="41" fillId="0" borderId="0" xfId="0" applyNumberFormat="1" applyFont="1"/>
    <xf numFmtId="0" fontId="10" fillId="3" borderId="30" xfId="0" applyFont="1" applyFill="1" applyBorder="1" applyAlignment="1">
      <alignment horizontal="center" vertical="center" wrapText="1"/>
    </xf>
    <xf numFmtId="0" fontId="37" fillId="0" borderId="30" xfId="0" applyFont="1" applyBorder="1" applyAlignment="1">
      <alignment horizontal="center"/>
    </xf>
    <xf numFmtId="0" fontId="24" fillId="0" borderId="30" xfId="0" applyFont="1" applyBorder="1" applyAlignment="1">
      <alignment horizontal="center"/>
    </xf>
    <xf numFmtId="168" fontId="24" fillId="0" borderId="30" xfId="0" applyNumberFormat="1" applyFont="1" applyBorder="1" applyAlignment="1">
      <alignment horizontal="center"/>
    </xf>
    <xf numFmtId="168" fontId="37" fillId="0" borderId="30" xfId="0" applyNumberFormat="1" applyFont="1" applyBorder="1" applyAlignment="1">
      <alignment horizontal="center"/>
    </xf>
    <xf numFmtId="168" fontId="34" fillId="0" borderId="30" xfId="0" applyNumberFormat="1" applyFont="1" applyBorder="1" applyAlignment="1">
      <alignment horizontal="center"/>
    </xf>
    <xf numFmtId="168" fontId="34" fillId="0" borderId="28" xfId="0" applyNumberFormat="1" applyFont="1" applyBorder="1" applyAlignment="1">
      <alignment horizontal="center"/>
    </xf>
    <xf numFmtId="0" fontId="0" fillId="0" borderId="27" xfId="0" applyBorder="1" applyAlignment="1">
      <alignment horizontal="center"/>
    </xf>
    <xf numFmtId="0" fontId="4" fillId="0" borderId="0" xfId="0" applyFont="1"/>
    <xf numFmtId="0" fontId="11" fillId="0" borderId="0" xfId="0" applyFont="1"/>
    <xf numFmtId="0" fontId="0" fillId="0" borderId="116" xfId="0" applyBorder="1"/>
    <xf numFmtId="0" fontId="14" fillId="5" borderId="123" xfId="0" applyFont="1" applyFill="1" applyBorder="1" applyAlignment="1">
      <alignment horizontal="center" vertical="center" wrapText="1"/>
    </xf>
    <xf numFmtId="0" fontId="14" fillId="5" borderId="123" xfId="0" applyFont="1" applyFill="1" applyBorder="1" applyAlignment="1">
      <alignment horizontal="center" vertical="center"/>
    </xf>
    <xf numFmtId="0" fontId="14" fillId="0" borderId="40" xfId="0" applyFont="1" applyBorder="1" applyAlignment="1">
      <alignment horizontal="center"/>
    </xf>
    <xf numFmtId="0" fontId="14" fillId="0" borderId="35" xfId="0" applyFont="1" applyBorder="1"/>
    <xf numFmtId="4" fontId="14" fillId="0" borderId="35" xfId="0" applyNumberFormat="1" applyFont="1" applyBorder="1"/>
    <xf numFmtId="4" fontId="14" fillId="0" borderId="35" xfId="0" applyNumberFormat="1" applyFont="1" applyBorder="1" applyAlignment="1">
      <alignment horizontal="left"/>
    </xf>
    <xf numFmtId="4" fontId="14" fillId="0" borderId="35" xfId="0" applyNumberFormat="1" applyFont="1" applyBorder="1" applyAlignment="1">
      <alignment horizontal="center"/>
    </xf>
    <xf numFmtId="0" fontId="24" fillId="0" borderId="40" xfId="0" applyFont="1" applyBorder="1" applyAlignment="1">
      <alignment horizontal="center"/>
    </xf>
    <xf numFmtId="0" fontId="24" fillId="0" borderId="35" xfId="0" applyFont="1" applyBorder="1"/>
    <xf numFmtId="3" fontId="24" fillId="0" borderId="35" xfId="0" applyNumberFormat="1" applyFont="1" applyBorder="1"/>
    <xf numFmtId="0" fontId="37" fillId="0" borderId="40" xfId="0" applyFont="1" applyBorder="1" applyAlignment="1">
      <alignment horizontal="left"/>
    </xf>
    <xf numFmtId="0" fontId="37" fillId="0" borderId="35" xfId="0" applyFont="1" applyBorder="1"/>
    <xf numFmtId="3" fontId="37" fillId="0" borderId="35" xfId="0" applyNumberFormat="1" applyFont="1" applyBorder="1"/>
    <xf numFmtId="0" fontId="34" fillId="0" borderId="40" xfId="0" applyFont="1" applyBorder="1" applyAlignment="1">
      <alignment horizontal="left"/>
    </xf>
    <xf numFmtId="0" fontId="34" fillId="0" borderId="35" xfId="0" applyFont="1" applyBorder="1" applyAlignment="1">
      <alignment horizontal="center"/>
    </xf>
    <xf numFmtId="3" fontId="34" fillId="0" borderId="35" xfId="0" applyNumberFormat="1" applyFont="1" applyBorder="1"/>
    <xf numFmtId="0" fontId="34" fillId="0" borderId="40" xfId="0" applyFont="1" applyBorder="1"/>
    <xf numFmtId="0" fontId="37" fillId="0" borderId="35" xfId="0" applyFont="1" applyBorder="1" applyAlignment="1">
      <alignment horizontal="center"/>
    </xf>
    <xf numFmtId="3" fontId="37" fillId="0" borderId="35" xfId="0" applyNumberFormat="1" applyFont="1" applyBorder="1" applyAlignment="1">
      <alignment horizontal="center"/>
    </xf>
    <xf numFmtId="0" fontId="24" fillId="0" borderId="35" xfId="0" applyFont="1" applyBorder="1" applyAlignment="1">
      <alignment horizontal="center"/>
    </xf>
    <xf numFmtId="3" fontId="24" fillId="0" borderId="35" xfId="0" applyNumberFormat="1" applyFont="1" applyBorder="1" applyAlignment="1">
      <alignment horizontal="right"/>
    </xf>
    <xf numFmtId="3" fontId="24" fillId="0" borderId="35" xfId="0" applyNumberFormat="1" applyFont="1" applyBorder="1" applyAlignment="1">
      <alignment horizontal="center"/>
    </xf>
    <xf numFmtId="0" fontId="24" fillId="0" borderId="40" xfId="0" applyFont="1" applyBorder="1" applyAlignment="1">
      <alignment horizontal="center" vertical="center" wrapText="1"/>
    </xf>
    <xf numFmtId="0" fontId="37" fillId="0" borderId="40" xfId="0" applyFont="1" applyBorder="1"/>
    <xf numFmtId="3" fontId="37" fillId="3" borderId="35" xfId="0" applyNumberFormat="1" applyFont="1" applyFill="1" applyBorder="1"/>
    <xf numFmtId="0" fontId="37" fillId="0" borderId="124" xfId="0" applyFont="1" applyBorder="1"/>
    <xf numFmtId="0" fontId="37" fillId="0" borderId="90" xfId="0" applyFont="1" applyBorder="1" applyAlignment="1">
      <alignment horizontal="center"/>
    </xf>
    <xf numFmtId="3" fontId="34" fillId="0" borderId="90" xfId="0" applyNumberFormat="1" applyFont="1" applyBorder="1"/>
    <xf numFmtId="3" fontId="37" fillId="0" borderId="90" xfId="0" applyNumberFormat="1" applyFont="1" applyBorder="1"/>
    <xf numFmtId="0" fontId="37" fillId="0" borderId="0" xfId="0" applyFont="1"/>
    <xf numFmtId="3" fontId="34" fillId="0" borderId="14" xfId="0" applyNumberFormat="1" applyFont="1" applyBorder="1"/>
    <xf numFmtId="3" fontId="34" fillId="0" borderId="0" xfId="0" applyNumberFormat="1" applyFont="1"/>
    <xf numFmtId="0" fontId="14" fillId="5" borderId="127" xfId="0" applyFont="1" applyFill="1" applyBorder="1" applyAlignment="1">
      <alignment horizontal="center" vertical="center"/>
    </xf>
    <xf numFmtId="0" fontId="43" fillId="6" borderId="0" xfId="0" applyFont="1" applyFill="1" applyAlignment="1">
      <alignment horizontal="center"/>
    </xf>
    <xf numFmtId="4" fontId="0" fillId="0" borderId="128" xfId="0" applyNumberFormat="1" applyBorder="1"/>
    <xf numFmtId="167" fontId="24" fillId="2" borderId="129" xfId="0" applyNumberFormat="1" applyFont="1" applyFill="1" applyBorder="1"/>
    <xf numFmtId="4" fontId="44" fillId="0" borderId="0" xfId="0" applyNumberFormat="1" applyFont="1"/>
    <xf numFmtId="167" fontId="34" fillId="2" borderId="129" xfId="0" applyNumberFormat="1" applyFont="1" applyFill="1" applyBorder="1"/>
    <xf numFmtId="4" fontId="45" fillId="0" borderId="0" xfId="0" applyNumberFormat="1" applyFont="1"/>
    <xf numFmtId="3" fontId="7" fillId="0" borderId="0" xfId="0" applyNumberFormat="1" applyFont="1" applyAlignment="1">
      <alignment horizontal="center"/>
    </xf>
    <xf numFmtId="3" fontId="34" fillId="0" borderId="35" xfId="0" applyNumberFormat="1" applyFont="1" applyBorder="1" applyAlignment="1">
      <alignment horizontal="right"/>
    </xf>
    <xf numFmtId="3" fontId="37" fillId="0" borderId="35" xfId="0" applyNumberFormat="1" applyFont="1" applyBorder="1" applyAlignment="1">
      <alignment horizontal="right"/>
    </xf>
    <xf numFmtId="4" fontId="46" fillId="0" borderId="0" xfId="0" applyNumberFormat="1" applyFont="1"/>
    <xf numFmtId="4" fontId="47" fillId="0" borderId="0" xfId="0" applyNumberFormat="1" applyFont="1"/>
    <xf numFmtId="4" fontId="48" fillId="0" borderId="0" xfId="0" applyNumberFormat="1" applyFont="1"/>
    <xf numFmtId="168" fontId="37" fillId="0" borderId="125" xfId="0" applyNumberFormat="1" applyFont="1" applyBorder="1"/>
    <xf numFmtId="3" fontId="49" fillId="3" borderId="0" xfId="0" applyNumberFormat="1" applyFont="1" applyFill="1"/>
    <xf numFmtId="168" fontId="24" fillId="0" borderId="125" xfId="0" applyNumberFormat="1" applyFont="1" applyBorder="1"/>
    <xf numFmtId="3" fontId="50" fillId="0" borderId="0" xfId="0" applyNumberFormat="1" applyFont="1"/>
    <xf numFmtId="168" fontId="37" fillId="0" borderId="130" xfId="0" applyNumberFormat="1" applyFont="1" applyBorder="1"/>
    <xf numFmtId="0" fontId="51" fillId="0" borderId="0" xfId="0" applyFont="1"/>
    <xf numFmtId="4" fontId="51" fillId="0" borderId="0" xfId="0" applyNumberFormat="1" applyFont="1"/>
    <xf numFmtId="0" fontId="52" fillId="0" borderId="0" xfId="0" applyFont="1" applyAlignment="1">
      <alignment horizontal="center"/>
    </xf>
    <xf numFmtId="0" fontId="52" fillId="0" borderId="0" xfId="0" applyFont="1"/>
    <xf numFmtId="0" fontId="53" fillId="0" borderId="0" xfId="0" applyFont="1"/>
    <xf numFmtId="4" fontId="54" fillId="0" borderId="0" xfId="0" applyNumberFormat="1" applyFont="1"/>
    <xf numFmtId="0" fontId="9" fillId="0" borderId="0" xfId="0" applyFont="1"/>
    <xf numFmtId="0" fontId="14" fillId="5" borderId="137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4" fillId="5" borderId="138" xfId="0" applyFont="1" applyFill="1" applyBorder="1" applyAlignment="1">
      <alignment horizontal="center" vertical="center" wrapText="1"/>
    </xf>
    <xf numFmtId="0" fontId="14" fillId="5" borderId="26" xfId="0" applyFont="1" applyFill="1" applyBorder="1" applyAlignment="1">
      <alignment horizontal="center" vertical="center" wrapText="1"/>
    </xf>
    <xf numFmtId="0" fontId="14" fillId="5" borderId="139" xfId="0" applyFont="1" applyFill="1" applyBorder="1" applyAlignment="1">
      <alignment horizontal="center" vertical="center" wrapText="1"/>
    </xf>
    <xf numFmtId="0" fontId="14" fillId="5" borderId="18" xfId="0" applyFont="1" applyFill="1" applyBorder="1" applyAlignment="1">
      <alignment horizontal="center" vertical="center" wrapText="1"/>
    </xf>
    <xf numFmtId="0" fontId="7" fillId="0" borderId="21" xfId="0" applyFont="1" applyBorder="1"/>
    <xf numFmtId="3" fontId="0" fillId="0" borderId="22" xfId="0" applyNumberFormat="1" applyBorder="1"/>
    <xf numFmtId="3" fontId="0" fillId="0" borderId="30" xfId="0" applyNumberFormat="1" applyBorder="1"/>
    <xf numFmtId="3" fontId="0" fillId="0" borderId="129" xfId="0" applyNumberFormat="1" applyBorder="1"/>
    <xf numFmtId="0" fontId="24" fillId="0" borderId="140" xfId="0" applyFont="1" applyBorder="1"/>
    <xf numFmtId="3" fontId="24" fillId="0" borderId="21" xfId="0" applyNumberFormat="1" applyFont="1" applyBorder="1"/>
    <xf numFmtId="3" fontId="24" fillId="2" borderId="22" xfId="0" applyNumberFormat="1" applyFont="1" applyFill="1" applyBorder="1"/>
    <xf numFmtId="3" fontId="24" fillId="0" borderId="22" xfId="0" applyNumberFormat="1" applyFont="1" applyBorder="1"/>
    <xf numFmtId="3" fontId="24" fillId="0" borderId="129" xfId="0" applyNumberFormat="1" applyFont="1" applyBorder="1"/>
    <xf numFmtId="0" fontId="24" fillId="0" borderId="0" xfId="0" applyFont="1" applyAlignment="1">
      <alignment horizontal="left"/>
    </xf>
    <xf numFmtId="0" fontId="24" fillId="0" borderId="140" xfId="0" applyFont="1" applyBorder="1" applyAlignment="1">
      <alignment horizontal="left"/>
    </xf>
    <xf numFmtId="3" fontId="24" fillId="0" borderId="21" xfId="0" applyNumberFormat="1" applyFont="1" applyBorder="1" applyAlignment="1">
      <alignment horizontal="right"/>
    </xf>
    <xf numFmtId="0" fontId="34" fillId="0" borderId="140" xfId="0" applyFont="1" applyBorder="1" applyAlignment="1">
      <alignment horizontal="left"/>
    </xf>
    <xf numFmtId="3" fontId="34" fillId="0" borderId="21" xfId="0" applyNumberFormat="1" applyFont="1" applyBorder="1" applyAlignment="1">
      <alignment horizontal="left"/>
    </xf>
    <xf numFmtId="3" fontId="34" fillId="0" borderId="22" xfId="0" applyNumberFormat="1" applyFont="1" applyBorder="1"/>
    <xf numFmtId="3" fontId="34" fillId="0" borderId="129" xfId="0" applyNumberFormat="1" applyFont="1" applyBorder="1"/>
    <xf numFmtId="0" fontId="34" fillId="0" borderId="140" xfId="0" applyFont="1" applyBorder="1"/>
    <xf numFmtId="3" fontId="34" fillId="0" borderId="21" xfId="0" applyNumberFormat="1" applyFont="1" applyBorder="1"/>
    <xf numFmtId="164" fontId="24" fillId="0" borderId="140" xfId="1" applyFont="1" applyFill="1" applyBorder="1" applyAlignment="1" applyProtection="1"/>
    <xf numFmtId="3" fontId="24" fillId="0" borderId="21" xfId="1" applyNumberFormat="1" applyFont="1" applyFill="1" applyBorder="1" applyAlignment="1" applyProtection="1"/>
    <xf numFmtId="0" fontId="34" fillId="0" borderId="0" xfId="0" applyFont="1" applyAlignment="1">
      <alignment horizontal="left"/>
    </xf>
    <xf numFmtId="3" fontId="35" fillId="0" borderId="22" xfId="0" applyNumberFormat="1" applyFont="1" applyBorder="1"/>
    <xf numFmtId="3" fontId="36" fillId="0" borderId="22" xfId="0" applyNumberFormat="1" applyFont="1" applyBorder="1"/>
    <xf numFmtId="3" fontId="34" fillId="0" borderId="22" xfId="0" applyNumberFormat="1" applyFont="1" applyBorder="1" applyAlignment="1">
      <alignment horizontal="right"/>
    </xf>
    <xf numFmtId="3" fontId="34" fillId="2" borderId="129" xfId="0" applyNumberFormat="1" applyFont="1" applyFill="1" applyBorder="1"/>
    <xf numFmtId="3" fontId="24" fillId="2" borderId="129" xfId="0" applyNumberFormat="1" applyFont="1" applyFill="1" applyBorder="1"/>
    <xf numFmtId="0" fontId="24" fillId="0" borderId="20" xfId="0" applyFont="1" applyBorder="1" applyAlignment="1">
      <alignment horizontal="left"/>
    </xf>
    <xf numFmtId="0" fontId="34" fillId="0" borderId="141" xfId="0" applyFont="1" applyBorder="1"/>
    <xf numFmtId="3" fontId="34" fillId="0" borderId="23" xfId="0" applyNumberFormat="1" applyFont="1" applyBorder="1"/>
    <xf numFmtId="3" fontId="34" fillId="2" borderId="142" xfId="0" applyNumberFormat="1" applyFont="1" applyFill="1" applyBorder="1"/>
    <xf numFmtId="0" fontId="24" fillId="0" borderId="21" xfId="0" applyFont="1" applyBorder="1" applyAlignment="1">
      <alignment horizontal="left"/>
    </xf>
    <xf numFmtId="171" fontId="24" fillId="2" borderId="22" xfId="0" applyNumberFormat="1" applyFont="1" applyFill="1" applyBorder="1"/>
    <xf numFmtId="171" fontId="34" fillId="2" borderId="22" xfId="0" applyNumberFormat="1" applyFont="1" applyFill="1" applyBorder="1"/>
    <xf numFmtId="37" fontId="34" fillId="0" borderId="22" xfId="0" applyNumberFormat="1" applyFont="1" applyBorder="1"/>
    <xf numFmtId="0" fontId="34" fillId="0" borderId="24" xfId="0" applyFont="1" applyBorder="1"/>
    <xf numFmtId="0" fontId="34" fillId="0" borderId="23" xfId="0" applyFont="1" applyBorder="1"/>
    <xf numFmtId="37" fontId="34" fillId="0" borderId="23" xfId="0" applyNumberFormat="1" applyFont="1" applyBorder="1"/>
    <xf numFmtId="0" fontId="34" fillId="0" borderId="27" xfId="0" applyFont="1" applyBorder="1"/>
    <xf numFmtId="0" fontId="34" fillId="0" borderId="0" xfId="0" applyFont="1"/>
    <xf numFmtId="3" fontId="34" fillId="0" borderId="27" xfId="0" applyNumberFormat="1" applyFont="1" applyBorder="1"/>
    <xf numFmtId="37" fontId="34" fillId="0" borderId="27" xfId="0" applyNumberFormat="1" applyFont="1" applyBorder="1"/>
    <xf numFmtId="37" fontId="0" fillId="0" borderId="0" xfId="0" applyNumberFormat="1"/>
    <xf numFmtId="0" fontId="30" fillId="0" borderId="0" xfId="0" applyFont="1"/>
    <xf numFmtId="0" fontId="55" fillId="0" borderId="0" xfId="0" applyFont="1"/>
    <xf numFmtId="3" fontId="30" fillId="0" borderId="0" xfId="0" applyNumberFormat="1" applyFont="1"/>
    <xf numFmtId="4" fontId="19" fillId="0" borderId="0" xfId="0" applyNumberFormat="1" applyFont="1"/>
    <xf numFmtId="0" fontId="14" fillId="5" borderId="4" xfId="0" applyFont="1" applyFill="1" applyBorder="1" applyAlignment="1">
      <alignment horizontal="center" vertical="center" wrapText="1"/>
    </xf>
    <xf numFmtId="168" fontId="24" fillId="0" borderId="0" xfId="0" applyNumberFormat="1" applyFont="1" applyAlignment="1">
      <alignment horizontal="center"/>
    </xf>
    <xf numFmtId="3" fontId="53" fillId="0" borderId="0" xfId="0" applyNumberFormat="1" applyFont="1"/>
    <xf numFmtId="0" fontId="24" fillId="0" borderId="0" xfId="0" applyFont="1" applyAlignment="1">
      <alignment horizontal="center"/>
    </xf>
    <xf numFmtId="4" fontId="53" fillId="0" borderId="0" xfId="0" applyNumberFormat="1" applyFont="1"/>
    <xf numFmtId="168" fontId="34" fillId="0" borderId="0" xfId="0" applyNumberFormat="1" applyFont="1" applyAlignment="1">
      <alignment horizontal="center"/>
    </xf>
    <xf numFmtId="0" fontId="56" fillId="0" borderId="0" xfId="0" applyFont="1"/>
    <xf numFmtId="168" fontId="34" fillId="0" borderId="19" xfId="0" applyNumberFormat="1" applyFont="1" applyBorder="1" applyAlignment="1">
      <alignment horizontal="center"/>
    </xf>
    <xf numFmtId="0" fontId="34" fillId="0" borderId="28" xfId="0" applyFont="1" applyBorder="1"/>
    <xf numFmtId="0" fontId="59" fillId="4" borderId="27" xfId="0" applyFont="1" applyFill="1" applyBorder="1"/>
    <xf numFmtId="0" fontId="58" fillId="4" borderId="0" xfId="0" applyFont="1" applyFill="1" applyAlignment="1">
      <alignment horizontal="center"/>
    </xf>
    <xf numFmtId="0" fontId="58" fillId="4" borderId="12" xfId="0" applyFont="1" applyFill="1" applyBorder="1" applyAlignment="1">
      <alignment horizontal="center"/>
    </xf>
    <xf numFmtId="0" fontId="59" fillId="4" borderId="29" xfId="0" applyFont="1" applyFill="1" applyBorder="1"/>
    <xf numFmtId="0" fontId="59" fillId="4" borderId="13" xfId="0" applyFont="1" applyFill="1" applyBorder="1"/>
    <xf numFmtId="0" fontId="0" fillId="0" borderId="12" xfId="0" applyBorder="1" applyAlignment="1">
      <alignment horizontal="left"/>
    </xf>
    <xf numFmtId="0" fontId="9" fillId="0" borderId="8" xfId="0" applyFont="1" applyBorder="1" applyAlignment="1">
      <alignment horizontal="center" vertical="center"/>
    </xf>
    <xf numFmtId="3" fontId="61" fillId="0" borderId="0" xfId="0" applyNumberFormat="1" applyFont="1" applyAlignment="1">
      <alignment horizontal="right" vertical="center"/>
    </xf>
    <xf numFmtId="3" fontId="61" fillId="0" borderId="12" xfId="0" applyNumberFormat="1" applyFont="1" applyBorder="1" applyAlignment="1">
      <alignment horizontal="right" vertical="center"/>
    </xf>
    <xf numFmtId="0" fontId="16" fillId="0" borderId="8" xfId="0" applyFont="1" applyBorder="1"/>
    <xf numFmtId="3" fontId="16" fillId="0" borderId="12" xfId="0" applyNumberFormat="1" applyFont="1" applyBorder="1" applyAlignment="1">
      <alignment horizontal="left"/>
    </xf>
    <xf numFmtId="3" fontId="16" fillId="0" borderId="0" xfId="0" applyNumberFormat="1" applyFont="1" applyAlignment="1">
      <alignment horizontal="left"/>
    </xf>
    <xf numFmtId="0" fontId="0" fillId="0" borderId="8" xfId="0" applyBorder="1" applyAlignment="1">
      <alignment vertical="center"/>
    </xf>
    <xf numFmtId="3" fontId="0" fillId="0" borderId="12" xfId="0" applyNumberFormat="1" applyBorder="1" applyAlignment="1">
      <alignment horizontal="right"/>
    </xf>
    <xf numFmtId="3" fontId="0" fillId="0" borderId="0" xfId="0" applyNumberFormat="1" applyAlignment="1">
      <alignment horizontal="right"/>
    </xf>
    <xf numFmtId="0" fontId="57" fillId="0" borderId="0" xfId="0" applyFont="1"/>
    <xf numFmtId="3" fontId="16" fillId="0" borderId="12" xfId="0" applyNumberFormat="1" applyFont="1" applyBorder="1" applyAlignment="1">
      <alignment horizontal="right"/>
    </xf>
    <xf numFmtId="3" fontId="16" fillId="0" borderId="0" xfId="0" applyNumberFormat="1" applyFont="1" applyAlignment="1">
      <alignment horizontal="right"/>
    </xf>
    <xf numFmtId="3" fontId="9" fillId="0" borderId="12" xfId="0" applyNumberFormat="1" applyFont="1" applyBorder="1" applyAlignment="1">
      <alignment horizontal="right" vertical="center"/>
    </xf>
    <xf numFmtId="3" fontId="9" fillId="0" borderId="0" xfId="0" applyNumberFormat="1" applyFont="1" applyAlignment="1">
      <alignment horizontal="right" vertical="center"/>
    </xf>
    <xf numFmtId="0" fontId="7" fillId="0" borderId="8" xfId="0" applyFont="1" applyBorder="1" applyAlignment="1">
      <alignment horizontal="center" vertical="center"/>
    </xf>
    <xf numFmtId="3" fontId="21" fillId="0" borderId="0" xfId="0" applyNumberFormat="1" applyFont="1" applyAlignment="1">
      <alignment horizontal="right" vertical="center"/>
    </xf>
    <xf numFmtId="3" fontId="21" fillId="0" borderId="12" xfId="0" applyNumberFormat="1" applyFont="1" applyBorder="1" applyAlignment="1">
      <alignment horizontal="right" vertical="center"/>
    </xf>
    <xf numFmtId="3" fontId="0" fillId="0" borderId="12" xfId="0" applyNumberFormat="1" applyBorder="1"/>
    <xf numFmtId="0" fontId="16" fillId="0" borderId="12" xfId="0" applyFont="1" applyBorder="1"/>
    <xf numFmtId="3" fontId="16" fillId="0" borderId="0" xfId="0" applyNumberFormat="1" applyFont="1"/>
    <xf numFmtId="0" fontId="63" fillId="0" borderId="0" xfId="5" applyFont="1"/>
    <xf numFmtId="0" fontId="63" fillId="0" borderId="0" xfId="5" applyFont="1" applyAlignment="1">
      <alignment horizontal="left"/>
    </xf>
    <xf numFmtId="0" fontId="64" fillId="0" borderId="0" xfId="5" applyFont="1" applyAlignment="1">
      <alignment horizontal="center"/>
    </xf>
    <xf numFmtId="0" fontId="62" fillId="0" borderId="0" xfId="5"/>
    <xf numFmtId="0" fontId="66" fillId="0" borderId="0" xfId="5" applyFont="1"/>
    <xf numFmtId="0" fontId="62" fillId="0" borderId="0" xfId="5" applyAlignment="1">
      <alignment horizontal="center"/>
    </xf>
    <xf numFmtId="0" fontId="68" fillId="5" borderId="25" xfId="5" applyFont="1" applyFill="1" applyBorder="1" applyAlignment="1">
      <alignment horizontal="center" vertical="center"/>
    </xf>
    <xf numFmtId="0" fontId="68" fillId="5" borderId="23" xfId="5" applyFont="1" applyFill="1" applyBorder="1" applyAlignment="1">
      <alignment horizontal="center" vertical="center" wrapText="1"/>
    </xf>
    <xf numFmtId="0" fontId="68" fillId="5" borderId="144" xfId="5" applyFont="1" applyFill="1" applyBorder="1" applyAlignment="1">
      <alignment horizontal="center" vertical="center" wrapText="1"/>
    </xf>
    <xf numFmtId="0" fontId="62" fillId="0" borderId="21" xfId="5" applyBorder="1"/>
    <xf numFmtId="0" fontId="62" fillId="0" borderId="147" xfId="5" applyBorder="1"/>
    <xf numFmtId="0" fontId="69" fillId="0" borderId="22" xfId="5" applyFont="1" applyBorder="1" applyAlignment="1">
      <alignment horizontal="center"/>
    </xf>
    <xf numFmtId="176" fontId="69" fillId="0" borderId="30" xfId="5" applyNumberFormat="1" applyFont="1" applyBorder="1" applyAlignment="1">
      <alignment horizontal="center"/>
    </xf>
    <xf numFmtId="0" fontId="62" fillId="0" borderId="58" xfId="5" applyBorder="1"/>
    <xf numFmtId="0" fontId="70" fillId="0" borderId="21" xfId="5" applyFont="1" applyBorder="1"/>
    <xf numFmtId="3" fontId="70" fillId="3" borderId="22" xfId="5" applyNumberFormat="1" applyFont="1" applyFill="1" applyBorder="1"/>
    <xf numFmtId="3" fontId="70" fillId="0" borderId="22" xfId="5" applyNumberFormat="1" applyFont="1" applyBorder="1"/>
    <xf numFmtId="0" fontId="62" fillId="8" borderId="0" xfId="5" applyFill="1"/>
    <xf numFmtId="0" fontId="70" fillId="3" borderId="21" xfId="5" applyFont="1" applyFill="1" applyBorder="1" applyAlignment="1">
      <alignment horizontal="left"/>
    </xf>
    <xf numFmtId="3" fontId="70" fillId="3" borderId="21" xfId="5" applyNumberFormat="1" applyFont="1" applyFill="1" applyBorder="1"/>
    <xf numFmtId="0" fontId="71" fillId="3" borderId="21" xfId="5" applyFont="1" applyFill="1" applyBorder="1" applyAlignment="1">
      <alignment horizontal="left"/>
    </xf>
    <xf numFmtId="3" fontId="71" fillId="3" borderId="22" xfId="5" applyNumberFormat="1" applyFont="1" applyFill="1" applyBorder="1"/>
    <xf numFmtId="0" fontId="72" fillId="3" borderId="21" xfId="5" applyFont="1" applyFill="1" applyBorder="1"/>
    <xf numFmtId="3" fontId="72" fillId="3" borderId="22" xfId="5" applyNumberFormat="1" applyFont="1" applyFill="1" applyBorder="1"/>
    <xf numFmtId="0" fontId="72" fillId="3" borderId="21" xfId="5" applyFont="1" applyFill="1" applyBorder="1" applyAlignment="1">
      <alignment horizontal="left"/>
    </xf>
    <xf numFmtId="0" fontId="72" fillId="3" borderId="22" xfId="5" applyFont="1" applyFill="1" applyBorder="1" applyAlignment="1">
      <alignment horizontal="left"/>
    </xf>
    <xf numFmtId="3" fontId="62" fillId="0" borderId="0" xfId="5" applyNumberFormat="1"/>
    <xf numFmtId="0" fontId="73" fillId="3" borderId="21" xfId="5" applyFont="1" applyFill="1" applyBorder="1" applyAlignment="1">
      <alignment horizontal="left"/>
    </xf>
    <xf numFmtId="0" fontId="73" fillId="3" borderId="22" xfId="5" applyFont="1" applyFill="1" applyBorder="1" applyAlignment="1">
      <alignment horizontal="left"/>
    </xf>
    <xf numFmtId="3" fontId="71" fillId="7" borderId="22" xfId="5" applyNumberFormat="1" applyFont="1" applyFill="1" applyBorder="1"/>
    <xf numFmtId="0" fontId="70" fillId="3" borderId="24" xfId="5" applyFont="1" applyFill="1" applyBorder="1" applyAlignment="1">
      <alignment horizontal="left"/>
    </xf>
    <xf numFmtId="0" fontId="68" fillId="3" borderId="0" xfId="5" applyFont="1" applyFill="1"/>
    <xf numFmtId="0" fontId="69" fillId="3" borderId="0" xfId="5" applyFont="1" applyFill="1"/>
    <xf numFmtId="0" fontId="74" fillId="0" borderId="0" xfId="5" applyFont="1"/>
    <xf numFmtId="0" fontId="75" fillId="0" borderId="0" xfId="5" applyFont="1"/>
    <xf numFmtId="0" fontId="68" fillId="0" borderId="0" xfId="5" applyFont="1"/>
    <xf numFmtId="0" fontId="76" fillId="0" borderId="0" xfId="5" applyFont="1"/>
    <xf numFmtId="3" fontId="77" fillId="0" borderId="0" xfId="5" applyNumberFormat="1" applyFont="1" applyAlignment="1">
      <alignment horizontal="left"/>
    </xf>
    <xf numFmtId="3" fontId="72" fillId="0" borderId="22" xfId="5" applyNumberFormat="1" applyFont="1" applyBorder="1"/>
    <xf numFmtId="0" fontId="72" fillId="0" borderId="21" xfId="5" applyFont="1" applyBorder="1" applyAlignment="1">
      <alignment horizontal="left"/>
    </xf>
    <xf numFmtId="0" fontId="72" fillId="0" borderId="22" xfId="5" applyFont="1" applyBorder="1" applyAlignment="1">
      <alignment horizontal="left"/>
    </xf>
    <xf numFmtId="0" fontId="70" fillId="0" borderId="21" xfId="5" applyFont="1" applyBorder="1" applyAlignment="1">
      <alignment horizontal="left"/>
    </xf>
    <xf numFmtId="0" fontId="70" fillId="0" borderId="22" xfId="5" applyFont="1" applyBorder="1" applyAlignment="1">
      <alignment horizontal="left"/>
    </xf>
    <xf numFmtId="3" fontId="70" fillId="0" borderId="22" xfId="5" applyNumberFormat="1" applyFont="1" applyBorder="1" applyAlignment="1">
      <alignment horizontal="right"/>
    </xf>
    <xf numFmtId="171" fontId="70" fillId="0" borderId="22" xfId="5" applyNumberFormat="1" applyFont="1" applyBorder="1" applyAlignment="1">
      <alignment horizontal="right"/>
    </xf>
    <xf numFmtId="3" fontId="70" fillId="0" borderId="21" xfId="5" applyNumberFormat="1" applyFont="1" applyBorder="1" applyAlignment="1">
      <alignment horizontal="right"/>
    </xf>
    <xf numFmtId="0" fontId="70" fillId="3" borderId="148" xfId="5" applyFont="1" applyFill="1" applyBorder="1" applyAlignment="1">
      <alignment horizontal="left"/>
    </xf>
    <xf numFmtId="171" fontId="70" fillId="3" borderId="148" xfId="5" applyNumberFormat="1" applyFont="1" applyFill="1" applyBorder="1"/>
    <xf numFmtId="167" fontId="70" fillId="3" borderId="148" xfId="5" applyNumberFormat="1" applyFont="1" applyFill="1" applyBorder="1" applyAlignment="1">
      <alignment horizontal="right"/>
    </xf>
    <xf numFmtId="3" fontId="8" fillId="3" borderId="34" xfId="0" applyNumberFormat="1" applyFont="1" applyFill="1" applyBorder="1"/>
    <xf numFmtId="3" fontId="8" fillId="0" borderId="42" xfId="0" applyNumberFormat="1" applyFont="1" applyBorder="1"/>
    <xf numFmtId="170" fontId="70" fillId="3" borderId="30" xfId="5" applyNumberFormat="1" applyFont="1" applyFill="1" applyBorder="1" applyAlignment="1">
      <alignment horizontal="center"/>
    </xf>
    <xf numFmtId="170" fontId="70" fillId="0" borderId="30" xfId="5" applyNumberFormat="1" applyFont="1" applyBorder="1" applyAlignment="1">
      <alignment horizontal="center"/>
    </xf>
    <xf numFmtId="170" fontId="71" fillId="3" borderId="30" xfId="5" applyNumberFormat="1" applyFont="1" applyFill="1" applyBorder="1" applyAlignment="1">
      <alignment horizontal="center"/>
    </xf>
    <xf numFmtId="170" fontId="72" fillId="3" borderId="30" xfId="5" applyNumberFormat="1" applyFont="1" applyFill="1" applyBorder="1" applyAlignment="1">
      <alignment horizontal="center"/>
    </xf>
    <xf numFmtId="170" fontId="71" fillId="3" borderId="28" xfId="5" applyNumberFormat="1" applyFont="1" applyFill="1" applyBorder="1" applyAlignment="1">
      <alignment horizontal="center"/>
    </xf>
    <xf numFmtId="0" fontId="69" fillId="3" borderId="0" xfId="5" applyFont="1" applyFill="1" applyAlignment="1">
      <alignment horizontal="center"/>
    </xf>
    <xf numFmtId="0" fontId="74" fillId="0" borderId="0" xfId="5" applyFont="1" applyAlignment="1">
      <alignment horizontal="center"/>
    </xf>
    <xf numFmtId="0" fontId="75" fillId="0" borderId="0" xfId="5" applyFont="1" applyAlignment="1">
      <alignment horizontal="center"/>
    </xf>
    <xf numFmtId="0" fontId="38" fillId="0" borderId="0" xfId="0" applyFont="1"/>
    <xf numFmtId="3" fontId="37" fillId="0" borderId="0" xfId="0" applyNumberFormat="1" applyFont="1"/>
    <xf numFmtId="170" fontId="37" fillId="0" borderId="0" xfId="0" applyNumberFormat="1" applyFont="1" applyAlignment="1">
      <alignment horizontal="center"/>
    </xf>
    <xf numFmtId="170" fontId="20" fillId="0" borderId="0" xfId="0" applyNumberFormat="1" applyFont="1" applyAlignment="1">
      <alignment horizontal="center"/>
    </xf>
    <xf numFmtId="168" fontId="7" fillId="0" borderId="41" xfId="0" applyNumberFormat="1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168" fontId="0" fillId="0" borderId="41" xfId="0" applyNumberFormat="1" applyBorder="1" applyAlignment="1">
      <alignment horizontal="center"/>
    </xf>
    <xf numFmtId="0" fontId="0" fillId="0" borderId="51" xfId="0" applyBorder="1" applyAlignment="1">
      <alignment horizontal="center"/>
    </xf>
    <xf numFmtId="3" fontId="7" fillId="0" borderId="49" xfId="0" applyNumberFormat="1" applyFont="1" applyBorder="1" applyAlignment="1">
      <alignment horizontal="right" vertical="center"/>
    </xf>
    <xf numFmtId="3" fontId="0" fillId="0" borderId="49" xfId="0" applyNumberFormat="1" applyBorder="1" applyAlignment="1">
      <alignment horizontal="right"/>
    </xf>
    <xf numFmtId="170" fontId="7" fillId="0" borderId="72" xfId="0" applyNumberFormat="1" applyFont="1" applyBorder="1" applyAlignment="1">
      <alignment horizontal="center" vertical="center"/>
    </xf>
    <xf numFmtId="170" fontId="7" fillId="0" borderId="70" xfId="0" applyNumberFormat="1" applyFont="1" applyBorder="1" applyAlignment="1">
      <alignment horizontal="center"/>
    </xf>
    <xf numFmtId="170" fontId="0" fillId="0" borderId="70" xfId="0" applyNumberFormat="1" applyBorder="1" applyAlignment="1">
      <alignment horizontal="center"/>
    </xf>
    <xf numFmtId="168" fontId="7" fillId="0" borderId="73" xfId="0" applyNumberFormat="1" applyFont="1" applyBorder="1" applyAlignment="1">
      <alignment horizontal="center" vertical="center"/>
    </xf>
    <xf numFmtId="168" fontId="0" fillId="0" borderId="70" xfId="0" applyNumberFormat="1" applyBorder="1" applyAlignment="1">
      <alignment horizontal="center"/>
    </xf>
    <xf numFmtId="168" fontId="7" fillId="0" borderId="74" xfId="0" applyNumberFormat="1" applyFont="1" applyBorder="1" applyAlignment="1">
      <alignment horizontal="center" vertical="center"/>
    </xf>
    <xf numFmtId="0" fontId="0" fillId="0" borderId="70" xfId="0" applyBorder="1" applyAlignment="1">
      <alignment horizontal="center"/>
    </xf>
    <xf numFmtId="168" fontId="24" fillId="0" borderId="75" xfId="0" applyNumberFormat="1" applyFont="1" applyBorder="1" applyAlignment="1">
      <alignment horizontal="center" vertical="center"/>
    </xf>
    <xf numFmtId="168" fontId="24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/>
    </xf>
    <xf numFmtId="168" fontId="2" fillId="0" borderId="0" xfId="0" applyNumberFormat="1" applyFont="1" applyAlignment="1">
      <alignment horizontal="center"/>
    </xf>
    <xf numFmtId="168" fontId="8" fillId="0" borderId="17" xfId="0" applyNumberFormat="1" applyFont="1" applyBorder="1" applyAlignment="1">
      <alignment horizontal="center"/>
    </xf>
    <xf numFmtId="168" fontId="18" fillId="0" borderId="16" xfId="0" applyNumberFormat="1" applyFont="1" applyBorder="1" applyAlignment="1">
      <alignment horizontal="center"/>
    </xf>
    <xf numFmtId="168" fontId="18" fillId="0" borderId="16" xfId="0" applyNumberFormat="1" applyFont="1" applyBorder="1" applyAlignment="1">
      <alignment horizontal="center" vertical="center"/>
    </xf>
    <xf numFmtId="0" fontId="0" fillId="0" borderId="29" xfId="0" applyBorder="1" applyAlignment="1">
      <alignment horizontal="center"/>
    </xf>
    <xf numFmtId="168" fontId="8" fillId="0" borderId="19" xfId="0" applyNumberFormat="1" applyFont="1" applyBorder="1" applyAlignment="1">
      <alignment horizontal="center"/>
    </xf>
    <xf numFmtId="4" fontId="7" fillId="0" borderId="97" xfId="0" applyNumberFormat="1" applyFont="1" applyBorder="1" applyAlignment="1">
      <alignment vertical="center"/>
    </xf>
    <xf numFmtId="4" fontId="7" fillId="0" borderId="98" xfId="0" applyNumberFormat="1" applyFont="1" applyBorder="1" applyAlignment="1">
      <alignment vertical="center"/>
    </xf>
    <xf numFmtId="4" fontId="7" fillId="0" borderId="99" xfId="0" applyNumberFormat="1" applyFont="1" applyBorder="1" applyAlignment="1">
      <alignment vertical="center"/>
    </xf>
    <xf numFmtId="4" fontId="29" fillId="0" borderId="97" xfId="0" applyNumberFormat="1" applyFont="1" applyBorder="1" applyAlignment="1">
      <alignment vertical="center"/>
    </xf>
    <xf numFmtId="4" fontId="39" fillId="0" borderId="0" xfId="0" applyNumberFormat="1" applyFont="1"/>
    <xf numFmtId="3" fontId="39" fillId="0" borderId="0" xfId="0" applyNumberFormat="1" applyFont="1"/>
    <xf numFmtId="4" fontId="7" fillId="0" borderId="6" xfId="0" applyNumberFormat="1" applyFont="1" applyBorder="1" applyAlignment="1">
      <alignment horizontal="right" vertical="center"/>
    </xf>
    <xf numFmtId="4" fontId="0" fillId="0" borderId="6" xfId="0" applyNumberFormat="1" applyBorder="1" applyAlignment="1">
      <alignment horizontal="right"/>
    </xf>
    <xf numFmtId="4" fontId="0" fillId="0" borderId="46" xfId="0" applyNumberFormat="1" applyBorder="1"/>
    <xf numFmtId="170" fontId="39" fillId="0" borderId="0" xfId="0" applyNumberFormat="1" applyFont="1"/>
    <xf numFmtId="0" fontId="39" fillId="0" borderId="0" xfId="0" applyFont="1" applyAlignment="1">
      <alignment horizontal="left" wrapText="1"/>
    </xf>
    <xf numFmtId="0" fontId="39" fillId="0" borderId="36" xfId="0" applyFont="1" applyBorder="1" applyAlignment="1">
      <alignment horizontal="left" vertical="center" wrapText="1"/>
    </xf>
    <xf numFmtId="0" fontId="39" fillId="0" borderId="8" xfId="0" applyFont="1" applyBorder="1" applyAlignment="1">
      <alignment horizontal="left" vertical="center" wrapText="1"/>
    </xf>
    <xf numFmtId="3" fontId="8" fillId="3" borderId="4" xfId="0" applyNumberFormat="1" applyFont="1" applyFill="1" applyBorder="1"/>
    <xf numFmtId="3" fontId="18" fillId="3" borderId="41" xfId="0" applyNumberFormat="1" applyFont="1" applyFill="1" applyBorder="1"/>
    <xf numFmtId="3" fontId="18" fillId="3" borderId="16" xfId="0" applyNumberFormat="1" applyFont="1" applyFill="1" applyBorder="1"/>
    <xf numFmtId="0" fontId="7" fillId="4" borderId="5" xfId="0" applyFont="1" applyFill="1" applyBorder="1" applyAlignment="1">
      <alignment horizontal="center" vertical="center"/>
    </xf>
    <xf numFmtId="3" fontId="8" fillId="0" borderId="5" xfId="0" applyNumberFormat="1" applyFont="1" applyBorder="1"/>
    <xf numFmtId="3" fontId="18" fillId="0" borderId="9" xfId="0" applyNumberFormat="1" applyFont="1" applyBorder="1"/>
    <xf numFmtId="3" fontId="18" fillId="0" borderId="9" xfId="0" applyNumberFormat="1" applyFont="1" applyBorder="1" applyAlignment="1">
      <alignment vertical="center"/>
    </xf>
    <xf numFmtId="3" fontId="18" fillId="0" borderId="10" xfId="0" applyNumberFormat="1" applyFont="1" applyBorder="1"/>
    <xf numFmtId="4" fontId="28" fillId="0" borderId="0" xfId="0" applyNumberFormat="1" applyFont="1"/>
    <xf numFmtId="4" fontId="34" fillId="0" borderId="22" xfId="0" applyNumberFormat="1" applyFont="1" applyBorder="1" applyAlignment="1">
      <alignment horizontal="right"/>
    </xf>
    <xf numFmtId="3" fontId="21" fillId="0" borderId="6" xfId="0" applyNumberFormat="1" applyFont="1" applyBorder="1" applyAlignment="1">
      <alignment horizontal="right" vertical="center"/>
    </xf>
    <xf numFmtId="3" fontId="0" fillId="0" borderId="16" xfId="0" applyNumberFormat="1" applyBorder="1" applyAlignment="1">
      <alignment horizontal="right"/>
    </xf>
    <xf numFmtId="168" fontId="34" fillId="0" borderId="125" xfId="0" applyNumberFormat="1" applyFont="1" applyBorder="1"/>
    <xf numFmtId="0" fontId="7" fillId="0" borderId="0" xfId="0" applyFont="1" applyAlignment="1">
      <alignment horizontal="center"/>
    </xf>
    <xf numFmtId="0" fontId="14" fillId="5" borderId="3" xfId="0" applyFont="1" applyFill="1" applyBorder="1" applyAlignment="1">
      <alignment horizontal="center" vertical="center"/>
    </xf>
    <xf numFmtId="3" fontId="34" fillId="0" borderId="148" xfId="0" applyNumberFormat="1" applyFont="1" applyBorder="1"/>
    <xf numFmtId="167" fontId="24" fillId="0" borderId="21" xfId="0" applyNumberFormat="1" applyFont="1" applyBorder="1"/>
    <xf numFmtId="167" fontId="24" fillId="0" borderId="21" xfId="0" applyNumberFormat="1" applyFont="1" applyBorder="1" applyAlignment="1">
      <alignment horizontal="right"/>
    </xf>
    <xf numFmtId="167" fontId="34" fillId="0" borderId="21" xfId="0" applyNumberFormat="1" applyFont="1" applyBorder="1" applyAlignment="1">
      <alignment horizontal="left"/>
    </xf>
    <xf numFmtId="167" fontId="34" fillId="0" borderId="21" xfId="0" applyNumberFormat="1" applyFont="1" applyBorder="1"/>
    <xf numFmtId="3" fontId="24" fillId="0" borderId="22" xfId="0" applyNumberFormat="1" applyFont="1" applyBorder="1" applyAlignment="1">
      <alignment horizontal="right"/>
    </xf>
    <xf numFmtId="3" fontId="35" fillId="0" borderId="22" xfId="0" applyNumberFormat="1" applyFont="1" applyBorder="1" applyAlignment="1">
      <alignment horizontal="right"/>
    </xf>
    <xf numFmtId="167" fontId="34" fillId="0" borderId="35" xfId="0" applyNumberFormat="1" applyFont="1" applyBorder="1"/>
    <xf numFmtId="167" fontId="24" fillId="0" borderId="35" xfId="0" applyNumberFormat="1" applyFont="1" applyBorder="1"/>
    <xf numFmtId="0" fontId="14" fillId="5" borderId="148" xfId="5" applyFont="1" applyFill="1" applyBorder="1" applyAlignment="1">
      <alignment horizontal="center" vertical="center"/>
    </xf>
    <xf numFmtId="167" fontId="72" fillId="0" borderId="22" xfId="5" applyNumberFormat="1" applyFont="1" applyBorder="1"/>
    <xf numFmtId="167" fontId="24" fillId="3" borderId="22" xfId="5" applyNumberFormat="1" applyFont="1" applyFill="1" applyBorder="1"/>
    <xf numFmtId="167" fontId="70" fillId="3" borderId="22" xfId="5" applyNumberFormat="1" applyFont="1" applyFill="1" applyBorder="1"/>
    <xf numFmtId="167" fontId="0" fillId="0" borderId="58" xfId="0" applyNumberFormat="1" applyBorder="1"/>
    <xf numFmtId="167" fontId="7" fillId="0" borderId="66" xfId="0" applyNumberFormat="1" applyFont="1" applyBorder="1" applyAlignment="1">
      <alignment vertical="center"/>
    </xf>
    <xf numFmtId="167" fontId="7" fillId="0" borderId="63" xfId="0" applyNumberFormat="1" applyFont="1" applyBorder="1" applyAlignment="1">
      <alignment vertical="center"/>
    </xf>
    <xf numFmtId="167" fontId="34" fillId="0" borderId="6" xfId="0" applyNumberFormat="1" applyFont="1" applyBorder="1"/>
    <xf numFmtId="167" fontId="24" fillId="0" borderId="36" xfId="0" applyNumberFormat="1" applyFont="1" applyBorder="1"/>
    <xf numFmtId="167" fontId="34" fillId="0" borderId="46" xfId="0" applyNumberFormat="1" applyFont="1" applyBorder="1"/>
    <xf numFmtId="167" fontId="9" fillId="0" borderId="6" xfId="0" applyNumberFormat="1" applyFont="1" applyBorder="1"/>
    <xf numFmtId="167" fontId="0" fillId="0" borderId="6" xfId="0" applyNumberFormat="1" applyBorder="1"/>
    <xf numFmtId="167" fontId="7" fillId="0" borderId="6" xfId="0" applyNumberFormat="1" applyFont="1" applyBorder="1" applyAlignment="1">
      <alignment horizontal="right" vertical="center"/>
    </xf>
    <xf numFmtId="167" fontId="70" fillId="3" borderId="21" xfId="5" applyNumberFormat="1" applyFont="1" applyFill="1" applyBorder="1"/>
    <xf numFmtId="0" fontId="7" fillId="4" borderId="29" xfId="0" applyFont="1" applyFill="1" applyBorder="1" applyAlignment="1">
      <alignment horizontal="center" vertical="center"/>
    </xf>
    <xf numFmtId="3" fontId="18" fillId="0" borderId="41" xfId="0" applyNumberFormat="1" applyFont="1" applyBorder="1"/>
    <xf numFmtId="3" fontId="18" fillId="0" borderId="41" xfId="0" applyNumberFormat="1" applyFont="1" applyBorder="1" applyAlignment="1">
      <alignment vertical="center"/>
    </xf>
    <xf numFmtId="3" fontId="18" fillId="3" borderId="12" xfId="0" applyNumberFormat="1" applyFont="1" applyFill="1" applyBorder="1" applyAlignment="1">
      <alignment vertical="center"/>
    </xf>
    <xf numFmtId="3" fontId="19" fillId="0" borderId="12" xfId="0" applyNumberFormat="1" applyFont="1" applyBorder="1" applyAlignment="1">
      <alignment vertical="center"/>
    </xf>
    <xf numFmtId="3" fontId="18" fillId="3" borderId="35" xfId="0" applyNumberFormat="1" applyFont="1" applyFill="1" applyBorder="1" applyAlignment="1">
      <alignment vertical="center"/>
    </xf>
    <xf numFmtId="3" fontId="18" fillId="3" borderId="9" xfId="0" applyNumberFormat="1" applyFont="1" applyFill="1" applyBorder="1"/>
    <xf numFmtId="3" fontId="18" fillId="3" borderId="150" xfId="0" applyNumberFormat="1" applyFont="1" applyFill="1" applyBorder="1"/>
    <xf numFmtId="3" fontId="18" fillId="0" borderId="151" xfId="0" applyNumberFormat="1" applyFont="1" applyBorder="1"/>
    <xf numFmtId="3" fontId="19" fillId="0" borderId="150" xfId="0" applyNumberFormat="1" applyFont="1" applyBorder="1"/>
    <xf numFmtId="0" fontId="0" fillId="0" borderId="31" xfId="0" applyBorder="1"/>
    <xf numFmtId="3" fontId="18" fillId="0" borderId="150" xfId="0" applyNumberFormat="1" applyFont="1" applyBorder="1"/>
    <xf numFmtId="0" fontId="7" fillId="0" borderId="0" xfId="0" applyFont="1"/>
    <xf numFmtId="3" fontId="39" fillId="0" borderId="0" xfId="5" applyNumberFormat="1" applyFont="1"/>
    <xf numFmtId="0" fontId="39" fillId="0" borderId="0" xfId="5" applyFont="1"/>
    <xf numFmtId="1" fontId="24" fillId="0" borderId="0" xfId="0" applyNumberFormat="1" applyFont="1"/>
    <xf numFmtId="1" fontId="37" fillId="0" borderId="0" xfId="0" applyNumberFormat="1" applyFont="1"/>
    <xf numFmtId="1" fontId="20" fillId="0" borderId="0" xfId="0" applyNumberFormat="1" applyFont="1"/>
    <xf numFmtId="1" fontId="12" fillId="0" borderId="0" xfId="0" applyNumberFormat="1" applyFont="1"/>
    <xf numFmtId="1" fontId="25" fillId="0" borderId="0" xfId="0" applyNumberFormat="1" applyFont="1"/>
    <xf numFmtId="167" fontId="14" fillId="0" borderId="152" xfId="0" applyNumberFormat="1" applyFont="1" applyBorder="1" applyAlignment="1">
      <alignment vertical="center"/>
    </xf>
    <xf numFmtId="3" fontId="14" fillId="0" borderId="0" xfId="0" applyNumberFormat="1" applyFont="1" applyBorder="1" applyAlignment="1">
      <alignment vertical="center"/>
    </xf>
    <xf numFmtId="3" fontId="14" fillId="0" borderId="153" xfId="0" applyNumberFormat="1" applyFont="1" applyBorder="1" applyAlignment="1">
      <alignment vertical="center"/>
    </xf>
    <xf numFmtId="3" fontId="14" fillId="0" borderId="41" xfId="0" applyNumberFormat="1" applyFont="1" applyBorder="1"/>
    <xf numFmtId="3" fontId="12" fillId="0" borderId="41" xfId="0" applyNumberFormat="1" applyFont="1" applyBorder="1"/>
    <xf numFmtId="167" fontId="14" fillId="0" borderId="154" xfId="0" applyNumberFormat="1" applyFont="1" applyBorder="1"/>
    <xf numFmtId="167" fontId="14" fillId="0" borderId="41" xfId="0" applyNumberFormat="1" applyFont="1" applyBorder="1"/>
    <xf numFmtId="167" fontId="12" fillId="0" borderId="41" xfId="0" applyNumberFormat="1" applyFont="1" applyBorder="1"/>
    <xf numFmtId="3" fontId="12" fillId="0" borderId="130" xfId="0" applyNumberFormat="1" applyFont="1" applyBorder="1"/>
    <xf numFmtId="167" fontId="14" fillId="0" borderId="155" xfId="0" applyNumberFormat="1" applyFont="1" applyBorder="1"/>
    <xf numFmtId="167" fontId="14" fillId="0" borderId="156" xfId="0" applyNumberFormat="1" applyFont="1" applyBorder="1"/>
    <xf numFmtId="167" fontId="12" fillId="0" borderId="156" xfId="0" applyNumberFormat="1" applyFont="1" applyBorder="1"/>
    <xf numFmtId="3" fontId="12" fillId="0" borderId="70" xfId="0" applyNumberFormat="1" applyFont="1" applyBorder="1"/>
    <xf numFmtId="3" fontId="12" fillId="0" borderId="0" xfId="0" applyNumberFormat="1" applyFont="1" applyBorder="1"/>
    <xf numFmtId="3" fontId="14" fillId="0" borderId="156" xfId="0" applyNumberFormat="1" applyFont="1" applyBorder="1"/>
    <xf numFmtId="0" fontId="12" fillId="0" borderId="156" xfId="0" applyFont="1" applyBorder="1"/>
    <xf numFmtId="3" fontId="12" fillId="0" borderId="156" xfId="0" applyNumberFormat="1" applyFont="1" applyBorder="1"/>
    <xf numFmtId="3" fontId="14" fillId="0" borderId="74" xfId="0" applyNumberFormat="1" applyFont="1" applyBorder="1" applyAlignment="1">
      <alignment vertical="center"/>
    </xf>
    <xf numFmtId="3" fontId="14" fillId="0" borderId="70" xfId="0" applyNumberFormat="1" applyFont="1" applyBorder="1"/>
    <xf numFmtId="3" fontId="12" fillId="0" borderId="157" xfId="0" applyNumberFormat="1" applyFont="1" applyBorder="1"/>
    <xf numFmtId="4" fontId="14" fillId="0" borderId="158" xfId="0" applyNumberFormat="1" applyFont="1" applyBorder="1" applyAlignment="1">
      <alignment vertical="center"/>
    </xf>
    <xf numFmtId="3" fontId="14" fillId="0" borderId="158" xfId="0" applyNumberFormat="1" applyFont="1" applyBorder="1" applyAlignment="1">
      <alignment vertical="center"/>
    </xf>
    <xf numFmtId="168" fontId="14" fillId="0" borderId="159" xfId="0" applyNumberFormat="1" applyFont="1" applyBorder="1" applyAlignment="1">
      <alignment horizontal="center" vertical="center"/>
    </xf>
    <xf numFmtId="4" fontId="14" fillId="0" borderId="12" xfId="0" applyNumberFormat="1" applyFont="1" applyBorder="1"/>
    <xf numFmtId="3" fontId="14" fillId="0" borderId="12" xfId="0" applyNumberFormat="1" applyFont="1" applyBorder="1"/>
    <xf numFmtId="168" fontId="14" fillId="0" borderId="16" xfId="0" applyNumberFormat="1" applyFont="1" applyBorder="1" applyAlignment="1">
      <alignment horizontal="center"/>
    </xf>
    <xf numFmtId="4" fontId="79" fillId="0" borderId="12" xfId="0" applyNumberFormat="1" applyFont="1" applyBorder="1"/>
    <xf numFmtId="4" fontId="12" fillId="0" borderId="12" xfId="0" applyNumberFormat="1" applyFont="1" applyBorder="1"/>
    <xf numFmtId="168" fontId="12" fillId="0" borderId="16" xfId="0" applyNumberFormat="1" applyFont="1" applyBorder="1" applyAlignment="1">
      <alignment horizontal="center"/>
    </xf>
    <xf numFmtId="4" fontId="78" fillId="0" borderId="12" xfId="0" applyNumberFormat="1" applyFont="1" applyBorder="1"/>
    <xf numFmtId="4" fontId="14" fillId="0" borderId="160" xfId="0" applyNumberFormat="1" applyFont="1" applyBorder="1" applyAlignment="1">
      <alignment vertical="center"/>
    </xf>
    <xf numFmtId="3" fontId="14" fillId="0" borderId="160" xfId="0" applyNumberFormat="1" applyFont="1" applyBorder="1" applyAlignment="1">
      <alignment vertical="center"/>
    </xf>
    <xf numFmtId="168" fontId="14" fillId="0" borderId="161" xfId="0" applyNumberFormat="1" applyFont="1" applyBorder="1" applyAlignment="1">
      <alignment horizontal="center" vertical="center"/>
    </xf>
    <xf numFmtId="167" fontId="14" fillId="0" borderId="12" xfId="0" applyNumberFormat="1" applyFont="1" applyBorder="1"/>
    <xf numFmtId="167" fontId="12" fillId="0" borderId="12" xfId="0" applyNumberFormat="1" applyFont="1" applyBorder="1"/>
    <xf numFmtId="4" fontId="26" fillId="0" borderId="12" xfId="0" applyNumberFormat="1" applyFont="1" applyBorder="1"/>
    <xf numFmtId="4" fontId="12" fillId="3" borderId="12" xfId="0" applyNumberFormat="1" applyFont="1" applyFill="1" applyBorder="1"/>
    <xf numFmtId="4" fontId="12" fillId="0" borderId="15" xfId="0" applyNumberFormat="1" applyFont="1" applyBorder="1"/>
    <xf numFmtId="3" fontId="12" fillId="0" borderId="15" xfId="0" applyNumberFormat="1" applyFont="1" applyBorder="1"/>
    <xf numFmtId="4" fontId="14" fillId="0" borderId="162" xfId="0" applyNumberFormat="1" applyFont="1" applyBorder="1" applyAlignment="1">
      <alignment vertical="center"/>
    </xf>
    <xf numFmtId="3" fontId="14" fillId="0" borderId="162" xfId="0" applyNumberFormat="1" applyFont="1" applyBorder="1" applyAlignment="1">
      <alignment vertical="center"/>
    </xf>
    <xf numFmtId="168" fontId="14" fillId="0" borderId="163" xfId="0" applyNumberFormat="1" applyFont="1" applyBorder="1" applyAlignment="1">
      <alignment horizontal="center" vertical="center"/>
    </xf>
    <xf numFmtId="4" fontId="14" fillId="0" borderId="12" xfId="0" applyNumberFormat="1" applyFont="1" applyBorder="1" applyAlignment="1">
      <alignment vertical="center"/>
    </xf>
    <xf numFmtId="3" fontId="14" fillId="0" borderId="12" xfId="0" applyNumberFormat="1" applyFont="1" applyBorder="1" applyAlignment="1">
      <alignment vertical="center"/>
    </xf>
    <xf numFmtId="168" fontId="14" fillId="0" borderId="16" xfId="0" applyNumberFormat="1" applyFont="1" applyBorder="1" applyAlignment="1">
      <alignment horizontal="center" vertical="center"/>
    </xf>
    <xf numFmtId="167" fontId="14" fillId="0" borderId="12" xfId="0" applyNumberFormat="1" applyFont="1" applyBorder="1" applyAlignment="1">
      <alignment vertical="center"/>
    </xf>
    <xf numFmtId="168" fontId="14" fillId="0" borderId="164" xfId="0" applyNumberFormat="1" applyFont="1" applyBorder="1" applyAlignment="1">
      <alignment horizontal="center" vertical="center"/>
    </xf>
    <xf numFmtId="4" fontId="27" fillId="0" borderId="160" xfId="0" applyNumberFormat="1" applyFont="1" applyBorder="1" applyAlignment="1">
      <alignment vertical="center"/>
    </xf>
    <xf numFmtId="4" fontId="14" fillId="0" borderId="165" xfId="0" applyNumberFormat="1" applyFont="1" applyBorder="1"/>
    <xf numFmtId="0" fontId="6" fillId="0" borderId="16" xfId="0" applyFont="1" applyBorder="1"/>
    <xf numFmtId="4" fontId="12" fillId="0" borderId="109" xfId="0" applyNumberFormat="1" applyFont="1" applyBorder="1"/>
    <xf numFmtId="3" fontId="12" fillId="0" borderId="109" xfId="0" applyNumberFormat="1" applyFont="1" applyBorder="1"/>
    <xf numFmtId="3" fontId="14" fillId="0" borderId="109" xfId="0" applyNumberFormat="1" applyFont="1" applyBorder="1"/>
    <xf numFmtId="168" fontId="12" fillId="0" borderId="166" xfId="0" applyNumberFormat="1" applyFont="1" applyBorder="1" applyAlignment="1">
      <alignment horizontal="center"/>
    </xf>
    <xf numFmtId="0" fontId="39" fillId="3" borderId="0" xfId="0" applyFont="1" applyFill="1"/>
    <xf numFmtId="3" fontId="39" fillId="0" borderId="6" xfId="0" applyNumberFormat="1" applyFont="1" applyBorder="1" applyAlignment="1">
      <alignment horizontal="right"/>
    </xf>
    <xf numFmtId="4" fontId="54" fillId="0" borderId="6" xfId="0" applyNumberFormat="1" applyFont="1" applyBorder="1" applyAlignment="1">
      <alignment horizontal="right"/>
    </xf>
    <xf numFmtId="4" fontId="54" fillId="0" borderId="0" xfId="0" applyNumberFormat="1" applyFont="1" applyAlignment="1">
      <alignment horizontal="right"/>
    </xf>
    <xf numFmtId="177" fontId="0" fillId="0" borderId="0" xfId="0" applyNumberFormat="1"/>
    <xf numFmtId="3" fontId="34" fillId="0" borderId="46" xfId="0" applyNumberFormat="1" applyFont="1" applyBorder="1" applyAlignment="1">
      <alignment horizontal="right"/>
    </xf>
    <xf numFmtId="0" fontId="60" fillId="4" borderId="19" xfId="0" applyFont="1" applyFill="1" applyBorder="1" applyAlignment="1">
      <alignment horizontal="center"/>
    </xf>
    <xf numFmtId="0" fontId="60" fillId="4" borderId="29" xfId="0" applyFont="1" applyFill="1" applyBorder="1" applyAlignment="1">
      <alignment horizontal="center"/>
    </xf>
    <xf numFmtId="0" fontId="7" fillId="0" borderId="0" xfId="0" applyFont="1" applyAlignment="1">
      <alignment horizontal="left"/>
    </xf>
    <xf numFmtId="0" fontId="58" fillId="4" borderId="31" xfId="0" applyFont="1" applyFill="1" applyBorder="1" applyAlignment="1">
      <alignment horizontal="center" vertical="center" wrapText="1"/>
    </xf>
    <xf numFmtId="0" fontId="58" fillId="4" borderId="8" xfId="0" applyFont="1" applyFill="1" applyBorder="1" applyAlignment="1">
      <alignment horizontal="center" vertical="center" wrapText="1"/>
    </xf>
    <xf numFmtId="0" fontId="58" fillId="4" borderId="20" xfId="0" applyFont="1" applyFill="1" applyBorder="1" applyAlignment="1">
      <alignment horizontal="center" vertical="center" wrapText="1"/>
    </xf>
    <xf numFmtId="0" fontId="14" fillId="5" borderId="24" xfId="0" applyFont="1" applyFill="1" applyBorder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46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14" fillId="5" borderId="31" xfId="0" applyFont="1" applyFill="1" applyBorder="1" applyAlignment="1">
      <alignment horizontal="center" vertical="center"/>
    </xf>
    <xf numFmtId="0" fontId="14" fillId="5" borderId="20" xfId="0" applyFont="1" applyFill="1" applyBorder="1" applyAlignment="1">
      <alignment horizontal="center" vertical="center"/>
    </xf>
    <xf numFmtId="0" fontId="14" fillId="5" borderId="131" xfId="0" applyFont="1" applyFill="1" applyBorder="1" applyAlignment="1">
      <alignment horizontal="center" vertical="center" wrapText="1"/>
    </xf>
    <xf numFmtId="0" fontId="14" fillId="5" borderId="137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4" fillId="5" borderId="132" xfId="0" applyFont="1" applyFill="1" applyBorder="1" applyAlignment="1">
      <alignment horizontal="center" vertical="center"/>
    </xf>
    <xf numFmtId="0" fontId="14" fillId="5" borderId="133" xfId="0" applyFont="1" applyFill="1" applyBorder="1" applyAlignment="1">
      <alignment horizontal="center" vertical="center"/>
    </xf>
    <xf numFmtId="0" fontId="14" fillId="5" borderId="134" xfId="0" applyFont="1" applyFill="1" applyBorder="1" applyAlignment="1">
      <alignment horizontal="center" vertical="center"/>
    </xf>
    <xf numFmtId="0" fontId="14" fillId="5" borderId="135" xfId="0" applyFont="1" applyFill="1" applyBorder="1" applyAlignment="1">
      <alignment horizontal="center" vertical="center"/>
    </xf>
    <xf numFmtId="0" fontId="14" fillId="5" borderId="136" xfId="0" applyFont="1" applyFill="1" applyBorder="1" applyAlignment="1">
      <alignment horizontal="center" vertical="center"/>
    </xf>
    <xf numFmtId="0" fontId="14" fillId="5" borderId="149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9" fillId="0" borderId="40" xfId="0" applyFont="1" applyBorder="1" applyAlignment="1">
      <alignment horizontal="center"/>
    </xf>
    <xf numFmtId="0" fontId="9" fillId="0" borderId="35" xfId="0" applyFont="1" applyBorder="1" applyAlignment="1">
      <alignment horizontal="center"/>
    </xf>
    <xf numFmtId="0" fontId="9" fillId="0" borderId="125" xfId="0" applyFont="1" applyBorder="1" applyAlignment="1">
      <alignment horizontal="center"/>
    </xf>
    <xf numFmtId="0" fontId="14" fillId="5" borderId="119" xfId="0" applyFont="1" applyFill="1" applyBorder="1" applyAlignment="1">
      <alignment horizontal="center"/>
    </xf>
    <xf numFmtId="0" fontId="14" fillId="5" borderId="103" xfId="0" applyFont="1" applyFill="1" applyBorder="1" applyAlignment="1">
      <alignment horizontal="center"/>
    </xf>
    <xf numFmtId="0" fontId="14" fillId="5" borderId="120" xfId="0" applyFont="1" applyFill="1" applyBorder="1" applyAlignment="1">
      <alignment horizontal="center"/>
    </xf>
    <xf numFmtId="0" fontId="14" fillId="5" borderId="121" xfId="0" applyFont="1" applyFill="1" applyBorder="1" applyAlignment="1">
      <alignment horizontal="center"/>
    </xf>
    <xf numFmtId="0" fontId="14" fillId="5" borderId="126" xfId="0" applyFont="1" applyFill="1" applyBorder="1" applyAlignment="1">
      <alignment horizontal="center"/>
    </xf>
    <xf numFmtId="0" fontId="14" fillId="5" borderId="117" xfId="0" applyFont="1" applyFill="1" applyBorder="1" applyAlignment="1">
      <alignment horizontal="center" vertical="center" wrapText="1"/>
    </xf>
    <xf numFmtId="0" fontId="14" fillId="5" borderId="122" xfId="0" applyFont="1" applyFill="1" applyBorder="1" applyAlignment="1">
      <alignment horizontal="center" vertical="center" wrapText="1"/>
    </xf>
    <xf numFmtId="0" fontId="14" fillId="5" borderId="118" xfId="0" applyFont="1" applyFill="1" applyBorder="1" applyAlignment="1">
      <alignment horizontal="center" vertical="center" wrapText="1"/>
    </xf>
    <xf numFmtId="0" fontId="14" fillId="5" borderId="123" xfId="0" applyFont="1" applyFill="1" applyBorder="1" applyAlignment="1">
      <alignment horizontal="center" vertical="center" wrapText="1"/>
    </xf>
    <xf numFmtId="49" fontId="62" fillId="0" borderId="0" xfId="5" applyNumberFormat="1" applyAlignment="1">
      <alignment horizontal="center"/>
    </xf>
    <xf numFmtId="0" fontId="65" fillId="0" borderId="0" xfId="5" applyFont="1" applyAlignment="1">
      <alignment horizontal="center"/>
    </xf>
    <xf numFmtId="0" fontId="67" fillId="0" borderId="0" xfId="5" applyFont="1" applyAlignment="1">
      <alignment horizontal="center"/>
    </xf>
    <xf numFmtId="0" fontId="9" fillId="0" borderId="0" xfId="5" applyFont="1" applyAlignment="1">
      <alignment horizontal="center"/>
    </xf>
    <xf numFmtId="0" fontId="68" fillId="5" borderId="145" xfId="5" applyFont="1" applyFill="1" applyBorder="1" applyAlignment="1">
      <alignment horizontal="center" vertical="center"/>
    </xf>
    <xf numFmtId="0" fontId="68" fillId="5" borderId="146" xfId="5" applyFont="1" applyFill="1" applyBorder="1" applyAlignment="1">
      <alignment horizontal="center" vertical="center"/>
    </xf>
    <xf numFmtId="0" fontId="68" fillId="5" borderId="111" xfId="5" applyFont="1" applyFill="1" applyBorder="1" applyAlignment="1">
      <alignment horizontal="center" vertical="center"/>
    </xf>
    <xf numFmtId="0" fontId="68" fillId="5" borderId="112" xfId="5" applyFont="1" applyFill="1" applyBorder="1" applyAlignment="1">
      <alignment horizontal="center" vertical="center"/>
    </xf>
    <xf numFmtId="0" fontId="68" fillId="5" borderId="113" xfId="5" applyFont="1" applyFill="1" applyBorder="1" applyAlignment="1">
      <alignment horizontal="center" vertical="center"/>
    </xf>
    <xf numFmtId="0" fontId="68" fillId="5" borderId="114" xfId="5" applyFont="1" applyFill="1" applyBorder="1" applyAlignment="1">
      <alignment horizontal="center" vertical="center" wrapText="1"/>
    </xf>
    <xf numFmtId="0" fontId="68" fillId="5" borderId="144" xfId="5" applyFont="1" applyFill="1" applyBorder="1" applyAlignment="1">
      <alignment horizontal="center" vertical="center" wrapText="1"/>
    </xf>
    <xf numFmtId="0" fontId="68" fillId="5" borderId="115" xfId="5" applyFont="1" applyFill="1" applyBorder="1" applyAlignment="1">
      <alignment horizontal="center" vertical="center" wrapText="1"/>
    </xf>
    <xf numFmtId="0" fontId="68" fillId="5" borderId="143" xfId="5" applyFont="1" applyFill="1" applyBorder="1" applyAlignment="1">
      <alignment horizontal="center" vertical="center" wrapText="1"/>
    </xf>
    <xf numFmtId="0" fontId="14" fillId="5" borderId="110" xfId="0" applyFont="1" applyFill="1" applyBorder="1" applyAlignment="1">
      <alignment horizontal="center" vertical="center" wrapText="1"/>
    </xf>
    <xf numFmtId="0" fontId="14" fillId="5" borderId="115" xfId="0" applyFont="1" applyFill="1" applyBorder="1" applyAlignment="1">
      <alignment horizontal="center" vertical="center" wrapText="1"/>
    </xf>
    <xf numFmtId="0" fontId="14" fillId="5" borderId="28" xfId="0" applyFont="1" applyFill="1" applyBorder="1" applyAlignment="1">
      <alignment horizontal="center" vertical="center" wrapText="1"/>
    </xf>
    <xf numFmtId="0" fontId="14" fillId="5" borderId="111" xfId="0" applyFont="1" applyFill="1" applyBorder="1" applyAlignment="1">
      <alignment horizontal="center" vertical="center" wrapText="1"/>
    </xf>
    <xf numFmtId="0" fontId="14" fillId="5" borderId="112" xfId="0" applyFont="1" applyFill="1" applyBorder="1" applyAlignment="1">
      <alignment horizontal="center" vertical="center" wrapText="1"/>
    </xf>
    <xf numFmtId="0" fontId="14" fillId="5" borderId="113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4" fillId="5" borderId="101" xfId="0" applyFont="1" applyFill="1" applyBorder="1" applyAlignment="1">
      <alignment horizontal="center" vertical="center" wrapText="1"/>
    </xf>
    <xf numFmtId="0" fontId="14" fillId="5" borderId="39" xfId="0" applyFont="1" applyFill="1" applyBorder="1" applyAlignment="1">
      <alignment horizontal="center" vertical="center" wrapText="1"/>
    </xf>
    <xf numFmtId="0" fontId="14" fillId="5" borderId="106" xfId="0" applyFont="1" applyFill="1" applyBorder="1" applyAlignment="1">
      <alignment horizontal="center" vertical="center" wrapText="1"/>
    </xf>
    <xf numFmtId="0" fontId="14" fillId="5" borderId="107" xfId="0" applyFont="1" applyFill="1" applyBorder="1" applyAlignment="1">
      <alignment horizontal="center" vertical="center" wrapText="1"/>
    </xf>
    <xf numFmtId="0" fontId="14" fillId="5" borderId="108" xfId="0" applyFont="1" applyFill="1" applyBorder="1" applyAlignment="1">
      <alignment horizontal="center" vertical="center" wrapText="1"/>
    </xf>
    <xf numFmtId="0" fontId="14" fillId="5" borderId="102" xfId="0" applyFont="1" applyFill="1" applyBorder="1" applyAlignment="1">
      <alignment horizontal="center" vertical="center"/>
    </xf>
    <xf numFmtId="0" fontId="14" fillId="5" borderId="103" xfId="0" applyFont="1" applyFill="1" applyBorder="1" applyAlignment="1">
      <alignment horizontal="center" vertical="center"/>
    </xf>
    <xf numFmtId="0" fontId="14" fillId="5" borderId="104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66" fontId="14" fillId="5" borderId="78" xfId="0" applyNumberFormat="1" applyFont="1" applyFill="1" applyBorder="1" applyAlignment="1">
      <alignment horizontal="center" vertical="center" wrapText="1"/>
    </xf>
    <xf numFmtId="166" fontId="14" fillId="5" borderId="79" xfId="0" applyNumberFormat="1" applyFont="1" applyFill="1" applyBorder="1" applyAlignment="1">
      <alignment horizontal="center" vertical="center" wrapText="1"/>
    </xf>
    <xf numFmtId="3" fontId="14" fillId="5" borderId="78" xfId="0" applyNumberFormat="1" applyFont="1" applyFill="1" applyBorder="1" applyAlignment="1">
      <alignment horizontal="center" vertical="center" wrapText="1"/>
    </xf>
    <xf numFmtId="3" fontId="14" fillId="5" borderId="79" xfId="0" applyNumberFormat="1" applyFont="1" applyFill="1" applyBorder="1" applyAlignment="1">
      <alignment horizontal="center" vertical="center" wrapText="1"/>
    </xf>
    <xf numFmtId="3" fontId="14" fillId="5" borderId="85" xfId="0" applyNumberFormat="1" applyFont="1" applyFill="1" applyBorder="1" applyAlignment="1">
      <alignment horizontal="center" vertical="center" wrapText="1"/>
    </xf>
    <xf numFmtId="3" fontId="14" fillId="5" borderId="76" xfId="0" applyNumberFormat="1" applyFont="1" applyFill="1" applyBorder="1" applyAlignment="1">
      <alignment horizontal="center" vertical="center" wrapText="1"/>
    </xf>
    <xf numFmtId="3" fontId="14" fillId="5" borderId="41" xfId="0" applyNumberFormat="1" applyFont="1" applyFill="1" applyBorder="1" applyAlignment="1">
      <alignment horizontal="center" vertical="center" wrapText="1"/>
    </xf>
    <xf numFmtId="3" fontId="14" fillId="5" borderId="36" xfId="0" applyNumberFormat="1" applyFont="1" applyFill="1" applyBorder="1" applyAlignment="1">
      <alignment horizontal="center" vertical="center" wrapText="1"/>
    </xf>
    <xf numFmtId="3" fontId="14" fillId="5" borderId="51" xfId="0" applyNumberFormat="1" applyFont="1" applyFill="1" applyBorder="1" applyAlignment="1">
      <alignment horizontal="center" vertical="center" wrapText="1"/>
    </xf>
    <xf numFmtId="3" fontId="14" fillId="5" borderId="39" xfId="0" applyNumberFormat="1" applyFont="1" applyFill="1" applyBorder="1" applyAlignment="1">
      <alignment horizontal="center" vertical="center" wrapText="1"/>
    </xf>
    <xf numFmtId="0" fontId="14" fillId="5" borderId="76" xfId="0" applyFont="1" applyFill="1" applyBorder="1" applyAlignment="1">
      <alignment horizontal="center" vertical="center"/>
    </xf>
    <xf numFmtId="0" fontId="14" fillId="5" borderId="36" xfId="0" applyFont="1" applyFill="1" applyBorder="1" applyAlignment="1">
      <alignment horizontal="center" vertical="center"/>
    </xf>
    <xf numFmtId="0" fontId="14" fillId="5" borderId="39" xfId="0" applyFont="1" applyFill="1" applyBorder="1" applyAlignment="1">
      <alignment horizontal="center" vertical="center"/>
    </xf>
    <xf numFmtId="0" fontId="14" fillId="5" borderId="77" xfId="0" applyFont="1" applyFill="1" applyBorder="1" applyAlignment="1">
      <alignment horizontal="center" vertical="center"/>
    </xf>
    <xf numFmtId="0" fontId="14" fillId="5" borderId="6" xfId="0" applyFont="1" applyFill="1" applyBorder="1" applyAlignment="1">
      <alignment horizontal="center" vertical="center"/>
    </xf>
    <xf numFmtId="0" fontId="14" fillId="5" borderId="46" xfId="0" applyFont="1" applyFill="1" applyBorder="1" applyAlignment="1">
      <alignment horizontal="center" vertical="center"/>
    </xf>
    <xf numFmtId="3" fontId="14" fillId="5" borderId="77" xfId="0" applyNumberFormat="1" applyFont="1" applyFill="1" applyBorder="1" applyAlignment="1">
      <alignment horizontal="center" vertical="center" wrapText="1"/>
    </xf>
    <xf numFmtId="3" fontId="14" fillId="5" borderId="6" xfId="0" applyNumberFormat="1" applyFont="1" applyFill="1" applyBorder="1" applyAlignment="1">
      <alignment horizontal="center" vertical="center" wrapText="1"/>
    </xf>
    <xf numFmtId="3" fontId="14" fillId="5" borderId="46" xfId="0" applyNumberFormat="1" applyFont="1" applyFill="1" applyBorder="1" applyAlignment="1">
      <alignment horizontal="center" vertical="center" wrapText="1"/>
    </xf>
    <xf numFmtId="3" fontId="14" fillId="5" borderId="84" xfId="0" applyNumberFormat="1" applyFont="1" applyFill="1" applyBorder="1" applyAlignment="1">
      <alignment horizontal="center" vertical="center" wrapText="1"/>
    </xf>
    <xf numFmtId="3" fontId="14" fillId="5" borderId="88" xfId="0" applyNumberFormat="1" applyFont="1" applyFill="1" applyBorder="1" applyAlignment="1">
      <alignment horizontal="center" vertical="center" wrapText="1"/>
    </xf>
    <xf numFmtId="49" fontId="14" fillId="5" borderId="86" xfId="0" applyNumberFormat="1" applyFont="1" applyFill="1" applyBorder="1" applyAlignment="1">
      <alignment horizontal="center" vertical="center" wrapText="1"/>
    </xf>
    <xf numFmtId="49" fontId="14" fillId="5" borderId="87" xfId="0" applyNumberFormat="1" applyFont="1" applyFill="1" applyBorder="1" applyAlignment="1">
      <alignment horizontal="center" vertical="center" wrapText="1"/>
    </xf>
    <xf numFmtId="49" fontId="14" fillId="5" borderId="89" xfId="0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5" borderId="53" xfId="0" applyFont="1" applyFill="1" applyBorder="1" applyAlignment="1">
      <alignment horizontal="center" vertical="center"/>
    </xf>
    <xf numFmtId="0" fontId="14" fillId="5" borderId="57" xfId="0" applyFont="1" applyFill="1" applyBorder="1" applyAlignment="1">
      <alignment horizontal="center" vertical="center"/>
    </xf>
    <xf numFmtId="0" fontId="14" fillId="5" borderId="60" xfId="0" applyFont="1" applyFill="1" applyBorder="1" applyAlignment="1">
      <alignment horizontal="center" vertical="center"/>
    </xf>
    <xf numFmtId="0" fontId="14" fillId="5" borderId="54" xfId="0" applyFont="1" applyFill="1" applyBorder="1" applyAlignment="1">
      <alignment horizontal="center" vertical="center"/>
    </xf>
    <xf numFmtId="0" fontId="14" fillId="5" borderId="58" xfId="0" applyFont="1" applyFill="1" applyBorder="1" applyAlignment="1">
      <alignment horizontal="center" vertical="center"/>
    </xf>
    <xf numFmtId="0" fontId="14" fillId="5" borderId="61" xfId="0" applyFont="1" applyFill="1" applyBorder="1" applyAlignment="1">
      <alignment horizontal="center" vertical="center"/>
    </xf>
    <xf numFmtId="49" fontId="14" fillId="5" borderId="55" xfId="0" applyNumberFormat="1" applyFont="1" applyFill="1" applyBorder="1" applyAlignment="1">
      <alignment horizontal="center" vertical="center" wrapText="1"/>
    </xf>
    <xf numFmtId="49" fontId="14" fillId="5" borderId="70" xfId="0" applyNumberFormat="1" applyFont="1" applyFill="1" applyBorder="1" applyAlignment="1">
      <alignment horizontal="center" vertical="center" wrapText="1"/>
    </xf>
    <xf numFmtId="49" fontId="14" fillId="5" borderId="71" xfId="0" applyNumberFormat="1" applyFont="1" applyFill="1" applyBorder="1" applyAlignment="1">
      <alignment horizontal="center" vertical="center" wrapText="1"/>
    </xf>
    <xf numFmtId="3" fontId="14" fillId="5" borderId="55" xfId="0" applyNumberFormat="1" applyFont="1" applyFill="1" applyBorder="1" applyAlignment="1">
      <alignment horizontal="center" vertical="center" wrapText="1"/>
    </xf>
    <xf numFmtId="3" fontId="14" fillId="5" borderId="53" xfId="0" applyNumberFormat="1" applyFont="1" applyFill="1" applyBorder="1" applyAlignment="1">
      <alignment horizontal="center" vertical="center" wrapText="1"/>
    </xf>
    <xf numFmtId="3" fontId="14" fillId="5" borderId="70" xfId="0" applyNumberFormat="1" applyFont="1" applyFill="1" applyBorder="1" applyAlignment="1">
      <alignment horizontal="center" vertical="center" wrapText="1"/>
    </xf>
    <xf numFmtId="3" fontId="14" fillId="5" borderId="57" xfId="0" applyNumberFormat="1" applyFont="1" applyFill="1" applyBorder="1" applyAlignment="1">
      <alignment horizontal="center" vertical="center" wrapText="1"/>
    </xf>
    <xf numFmtId="3" fontId="14" fillId="5" borderId="71" xfId="0" applyNumberFormat="1" applyFont="1" applyFill="1" applyBorder="1" applyAlignment="1">
      <alignment horizontal="center" vertical="center" wrapText="1"/>
    </xf>
    <xf numFmtId="3" fontId="14" fillId="5" borderId="60" xfId="0" applyNumberFormat="1" applyFont="1" applyFill="1" applyBorder="1" applyAlignment="1">
      <alignment horizontal="center" vertical="center" wrapText="1"/>
    </xf>
    <xf numFmtId="166" fontId="14" fillId="5" borderId="55" xfId="0" applyNumberFormat="1" applyFont="1" applyFill="1" applyBorder="1" applyAlignment="1">
      <alignment horizontal="center" vertical="center" wrapText="1"/>
    </xf>
    <xf numFmtId="166" fontId="14" fillId="5" borderId="56" xfId="0" applyNumberFormat="1" applyFont="1" applyFill="1" applyBorder="1" applyAlignment="1">
      <alignment horizontal="center" vertical="center" wrapText="1"/>
    </xf>
    <xf numFmtId="166" fontId="14" fillId="5" borderId="53" xfId="0" applyNumberFormat="1" applyFont="1" applyFill="1" applyBorder="1" applyAlignment="1">
      <alignment horizontal="center" vertical="center" wrapText="1"/>
    </xf>
    <xf numFmtId="166" fontId="14" fillId="5" borderId="59" xfId="0" applyNumberFormat="1" applyFont="1" applyFill="1" applyBorder="1" applyAlignment="1">
      <alignment horizontal="center" vertical="center" wrapText="1"/>
    </xf>
    <xf numFmtId="166" fontId="14" fillId="5" borderId="29" xfId="0" applyNumberFormat="1" applyFont="1" applyFill="1" applyBorder="1" applyAlignment="1">
      <alignment horizontal="center" vertical="center" wrapText="1"/>
    </xf>
    <xf numFmtId="166" fontId="14" fillId="5" borderId="69" xfId="0" applyNumberFormat="1" applyFont="1" applyFill="1" applyBorder="1" applyAlignment="1">
      <alignment horizontal="center" vertical="center" wrapText="1"/>
    </xf>
    <xf numFmtId="0" fontId="12" fillId="0" borderId="52" xfId="0" applyFont="1" applyBorder="1" applyAlignment="1">
      <alignment horizontal="center"/>
    </xf>
    <xf numFmtId="0" fontId="14" fillId="5" borderId="45" xfId="0" applyFont="1" applyFill="1" applyBorder="1" applyAlignment="1">
      <alignment horizontal="center" vertical="center" wrapText="1"/>
    </xf>
    <xf numFmtId="0" fontId="14" fillId="5" borderId="50" xfId="0" applyFont="1" applyFill="1" applyBorder="1" applyAlignment="1">
      <alignment horizontal="center" vertical="center" wrapText="1"/>
    </xf>
    <xf numFmtId="0" fontId="14" fillId="5" borderId="5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4" fillId="5" borderId="3" xfId="0" applyFont="1" applyFill="1" applyBorder="1" applyAlignment="1">
      <alignment horizontal="center" vertical="center"/>
    </xf>
    <xf numFmtId="0" fontId="14" fillId="5" borderId="37" xfId="0" applyFont="1" applyFill="1" applyBorder="1" applyAlignment="1">
      <alignment horizontal="center" vertical="center"/>
    </xf>
    <xf numFmtId="0" fontId="7" fillId="4" borderId="17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32" xfId="0" applyFont="1" applyFill="1" applyBorder="1" applyAlignment="1">
      <alignment horizontal="center" vertical="center"/>
    </xf>
    <xf numFmtId="0" fontId="7" fillId="4" borderId="31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/>
    </xf>
    <xf numFmtId="0" fontId="7" fillId="4" borderId="43" xfId="0" applyFont="1" applyFill="1" applyBorder="1" applyAlignment="1">
      <alignment horizontal="center" vertical="center" wrapText="1"/>
    </xf>
    <xf numFmtId="0" fontId="7" fillId="4" borderId="33" xfId="0" applyFont="1" applyFill="1" applyBorder="1" applyAlignment="1">
      <alignment horizontal="center" vertical="center" wrapText="1"/>
    </xf>
    <xf numFmtId="0" fontId="7" fillId="4" borderId="44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</cellXfs>
  <cellStyles count="6">
    <cellStyle name="Euro" xfId="2"/>
    <cellStyle name="Moneda" xfId="1" builtinId="4"/>
    <cellStyle name="Normal" xfId="0" builtinId="0"/>
    <cellStyle name="Normal 2" xfId="3"/>
    <cellStyle name="Normal 2 2" xfId="4"/>
    <cellStyle name="Normal 3" xf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2323DC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33CC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062948"/>
      <color rgb="FF000099"/>
      <color rgb="FF000066"/>
      <color rgb="FFFFCCFF"/>
      <color rgb="FF003399"/>
      <color rgb="FF0066CC"/>
      <color rgb="FF0033CC"/>
      <color rgb="FF0000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106680</xdr:rowOff>
    </xdr:from>
    <xdr:to>
      <xdr:col>4</xdr:col>
      <xdr:colOff>1074420</xdr:colOff>
      <xdr:row>2</xdr:row>
      <xdr:rowOff>236220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274320"/>
          <a:ext cx="5631180" cy="2971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A" sz="14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RESUMEN DEL PRESUPUESTO AL MES DE NOVIEMBRE 2025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0" name="Line 1">
          <a:extLst>
            <a:ext uri="{FF2B5EF4-FFF2-40B4-BE49-F238E27FC236}">
              <a16:creationId xmlns:a16="http://schemas.microsoft.com/office/drawing/2014/main" id="{00000000-0008-0000-0C00-0000A4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1" name="Line 1">
          <a:extLst>
            <a:ext uri="{FF2B5EF4-FFF2-40B4-BE49-F238E27FC236}">
              <a16:creationId xmlns:a16="http://schemas.microsoft.com/office/drawing/2014/main" id="{00000000-0008-0000-0C00-0000A5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2" name="Line 1">
          <a:extLst>
            <a:ext uri="{FF2B5EF4-FFF2-40B4-BE49-F238E27FC236}">
              <a16:creationId xmlns:a16="http://schemas.microsoft.com/office/drawing/2014/main" id="{00000000-0008-0000-0C00-0000A6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3" name="Line 1">
          <a:extLst>
            <a:ext uri="{FF2B5EF4-FFF2-40B4-BE49-F238E27FC236}">
              <a16:creationId xmlns:a16="http://schemas.microsoft.com/office/drawing/2014/main" id="{00000000-0008-0000-0C00-0000A7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4" name="Line 1">
          <a:extLst>
            <a:ext uri="{FF2B5EF4-FFF2-40B4-BE49-F238E27FC236}">
              <a16:creationId xmlns:a16="http://schemas.microsoft.com/office/drawing/2014/main" id="{00000000-0008-0000-0C00-0000A8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5" name="Line 1">
          <a:extLst>
            <a:ext uri="{FF2B5EF4-FFF2-40B4-BE49-F238E27FC236}">
              <a16:creationId xmlns:a16="http://schemas.microsoft.com/office/drawing/2014/main" id="{00000000-0008-0000-0C00-0000A9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39</xdr:row>
      <xdr:rowOff>0</xdr:rowOff>
    </xdr:from>
    <xdr:to>
      <xdr:col>0</xdr:col>
      <xdr:colOff>238125</xdr:colOff>
      <xdr:row>40</xdr:row>
      <xdr:rowOff>38100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D00-00008BC60000}"/>
            </a:ext>
          </a:extLst>
        </xdr:cNvPr>
        <xdr:cNvSpPr txBox="1">
          <a:spLocks noChangeArrowheads="1"/>
        </xdr:cNvSpPr>
      </xdr:nvSpPr>
      <xdr:spPr>
        <a:xfrm>
          <a:off x="133350" y="90678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57</xdr:row>
      <xdr:rowOff>209550</xdr:rowOff>
    </xdr:from>
    <xdr:to>
      <xdr:col>12</xdr:col>
      <xdr:colOff>771525</xdr:colOff>
      <xdr:row>59</xdr:row>
      <xdr:rowOff>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 txBox="1"/>
      </xdr:nvSpPr>
      <xdr:spPr>
        <a:xfrm>
          <a:off x="104775" y="11446510"/>
          <a:ext cx="8963025" cy="2813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A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pre05\COPIA%20MAYRA\EJECUCION%20PRESUP%2020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-A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GRESOS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Pto"/>
      <sheetName val="FINANC. PTO"/>
      <sheetName val="C-1"/>
      <sheetName val="C-2"/>
      <sheetName val="C-3"/>
      <sheetName val="C-4"/>
      <sheetName val="Transf"/>
      <sheetName val="C-5"/>
      <sheetName val="C-8"/>
      <sheetName val="C-6"/>
      <sheetName val="C-7"/>
      <sheetName val="C-9"/>
      <sheetName val="C-10"/>
      <sheetName val="Ing.corr-k"/>
      <sheetName val="CA1"/>
      <sheetName val="CA2"/>
      <sheetName val="C-A3"/>
      <sheetName val="C-A4"/>
      <sheetName val="C-A5"/>
      <sheetName val="C-A6"/>
      <sheetName val="C-A6C"/>
      <sheetName val="C-A7"/>
      <sheetName val="C-A8A"/>
      <sheetName val="INVxOBJETO"/>
      <sheetName val="TRASLADO"/>
      <sheetName val="PTO LEY 2020-2021"/>
      <sheetName val="POR GRUPO"/>
      <sheetName val="Hoja4"/>
      <sheetName val="Hoja5"/>
      <sheetName val="Hoja1"/>
      <sheetName val="Hoja2"/>
      <sheetName val="C-A8"/>
      <sheetName val="Hoja6"/>
      <sheetName val="C-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1">
          <cell r="B11" t="str">
            <v xml:space="preserve"> I  Ingresos Corrientes</v>
          </cell>
          <cell r="C11">
            <v>141094806</v>
          </cell>
          <cell r="D11">
            <v>141094806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6" tint="-0.249977111117893"/>
  </sheetPr>
  <dimension ref="A1:H33"/>
  <sheetViews>
    <sheetView showGridLines="0" showZeros="0" tabSelected="1" topLeftCell="A16" workbookViewId="0">
      <selection activeCell="E34" sqref="E34"/>
    </sheetView>
  </sheetViews>
  <sheetFormatPr baseColWidth="10" defaultColWidth="11.42578125" defaultRowHeight="12.75"/>
  <cols>
    <col min="1" max="1" width="35.7109375" style="4" customWidth="1"/>
    <col min="2" max="2" width="15.28515625" customWidth="1"/>
    <col min="3" max="3" width="15.42578125" hidden="1" customWidth="1"/>
    <col min="4" max="4" width="15.42578125" customWidth="1"/>
    <col min="5" max="5" width="16.7109375" customWidth="1"/>
  </cols>
  <sheetData>
    <row r="1" spans="1:7">
      <c r="A1"/>
    </row>
    <row r="2" spans="1:7">
      <c r="A2"/>
    </row>
    <row r="3" spans="1:7" ht="31.9" customHeight="1">
      <c r="A3"/>
    </row>
    <row r="4" spans="1:7" ht="6.95" customHeight="1">
      <c r="A4" s="666" t="s">
        <v>0</v>
      </c>
      <c r="B4" s="421"/>
      <c r="C4" s="421"/>
      <c r="D4" s="421"/>
      <c r="E4" s="421"/>
    </row>
    <row r="5" spans="1:7">
      <c r="A5" s="667"/>
      <c r="B5" s="663" t="s">
        <v>1</v>
      </c>
      <c r="C5" s="664"/>
      <c r="D5" s="664"/>
      <c r="E5" s="664"/>
    </row>
    <row r="6" spans="1:7" ht="20.25" customHeight="1">
      <c r="A6" s="667"/>
      <c r="B6" s="422" t="s">
        <v>2</v>
      </c>
      <c r="C6" s="422" t="s">
        <v>3</v>
      </c>
      <c r="D6" s="423" t="s">
        <v>4</v>
      </c>
      <c r="E6" s="422" t="s">
        <v>5</v>
      </c>
    </row>
    <row r="7" spans="1:7" ht="6.6" customHeight="1">
      <c r="A7" s="668"/>
      <c r="B7" s="424"/>
      <c r="C7" s="424"/>
      <c r="D7" s="425"/>
      <c r="E7" s="424"/>
    </row>
    <row r="8" spans="1:7" ht="13.15" customHeight="1">
      <c r="A8" s="5"/>
      <c r="B8" s="136"/>
      <c r="C8" s="136"/>
      <c r="D8" s="426"/>
    </row>
    <row r="9" spans="1:7" ht="24.6" customHeight="1">
      <c r="A9" s="427" t="s">
        <v>6</v>
      </c>
      <c r="B9" s="428">
        <f>SUM(B11:B13)</f>
        <v>198000000</v>
      </c>
      <c r="C9" s="428">
        <f>SUM(C11:C13)</f>
        <v>0</v>
      </c>
      <c r="D9" s="429">
        <f>SUM(D11:D13)</f>
        <v>167166634</v>
      </c>
      <c r="E9" s="428">
        <f>SUM(E11:E13)</f>
        <v>96465526.230000004</v>
      </c>
    </row>
    <row r="10" spans="1:7" ht="15">
      <c r="A10" s="430"/>
      <c r="B10" s="431"/>
      <c r="C10" s="432"/>
      <c r="D10" s="431"/>
      <c r="E10" s="432"/>
    </row>
    <row r="11" spans="1:7">
      <c r="A11" s="433" t="s">
        <v>7</v>
      </c>
      <c r="B11" s="434">
        <f>+'RECAUDACION ING'!C11</f>
        <v>141094806</v>
      </c>
      <c r="C11" s="435"/>
      <c r="D11" s="434">
        <f>+'RECAUDACION ING'!E11</f>
        <v>140457693</v>
      </c>
      <c r="E11" s="556">
        <f>+'RECAUDACION ING'!H11</f>
        <v>83158853.230000004</v>
      </c>
    </row>
    <row r="12" spans="1:7">
      <c r="A12" s="433"/>
      <c r="B12" s="434"/>
      <c r="C12" s="435"/>
      <c r="D12" s="434">
        <f>+'RECAUDACION ING'!E12</f>
        <v>0</v>
      </c>
      <c r="E12" s="556"/>
      <c r="F12" s="436"/>
    </row>
    <row r="13" spans="1:7">
      <c r="A13" s="433" t="s">
        <v>8</v>
      </c>
      <c r="B13" s="434">
        <f>+'RECAUDACION ING'!C34</f>
        <v>56905194</v>
      </c>
      <c r="C13" s="435"/>
      <c r="D13" s="434">
        <f>+'RECAUDACION ING'!E34</f>
        <v>26708941</v>
      </c>
      <c r="E13" s="556">
        <f>+'RECAUDACION ING'!H34</f>
        <v>13306673</v>
      </c>
      <c r="G13" s="1"/>
    </row>
    <row r="14" spans="1:7" ht="15">
      <c r="A14" s="430"/>
      <c r="B14" s="437"/>
      <c r="C14" s="438"/>
      <c r="D14" s="437"/>
      <c r="E14" s="438"/>
    </row>
    <row r="15" spans="1:7" ht="15">
      <c r="A15" s="430"/>
      <c r="B15" s="437"/>
      <c r="C15" s="438"/>
      <c r="D15" s="437"/>
      <c r="E15" s="438"/>
    </row>
    <row r="16" spans="1:7" ht="22.15" customHeight="1">
      <c r="A16" s="427" t="s">
        <v>9</v>
      </c>
      <c r="B16" s="439">
        <f>+B18+B25</f>
        <v>198000000</v>
      </c>
      <c r="C16" s="440">
        <f>+C18+C25</f>
        <v>0</v>
      </c>
      <c r="D16" s="439">
        <f>+D18+D25</f>
        <v>167166634</v>
      </c>
      <c r="E16" s="440">
        <f>+E18+E25-1</f>
        <v>135195162.68000001</v>
      </c>
    </row>
    <row r="17" spans="1:8" ht="16.899999999999999" customHeight="1">
      <c r="A17" s="430"/>
      <c r="B17" s="437"/>
      <c r="C17" s="438"/>
      <c r="D17" s="437"/>
      <c r="E17" s="438"/>
    </row>
    <row r="18" spans="1:8" ht="24.6" customHeight="1">
      <c r="A18" s="441" t="s">
        <v>10</v>
      </c>
      <c r="B18" s="442">
        <f>+B19+B21+B23</f>
        <v>141094806</v>
      </c>
      <c r="C18" s="442">
        <f>SUM(C19:C23)</f>
        <v>0</v>
      </c>
      <c r="D18" s="443">
        <f>SUM(D19:D23)</f>
        <v>140457693</v>
      </c>
      <c r="E18" s="442">
        <f>E19+E21+E23</f>
        <v>110834294.72</v>
      </c>
      <c r="F18" s="1" t="s">
        <v>11</v>
      </c>
      <c r="H18" t="s">
        <v>12</v>
      </c>
    </row>
    <row r="19" spans="1:8" ht="22.5" customHeight="1">
      <c r="A19" s="5" t="s">
        <v>13</v>
      </c>
      <c r="B19" s="435">
        <f>+'EST. PROG.'!C11</f>
        <v>52074126</v>
      </c>
      <c r="C19" s="435"/>
      <c r="D19" s="434">
        <f>+'EST. PROG.'!E11</f>
        <v>54797237</v>
      </c>
      <c r="E19" s="435">
        <f>+'EST. PROG.'!H11</f>
        <v>40009621.039999999</v>
      </c>
      <c r="H19" t="s">
        <v>12</v>
      </c>
    </row>
    <row r="20" spans="1:8">
      <c r="A20" s="5"/>
      <c r="B20" s="435">
        <f>+PROYECTOS!F1</f>
        <v>0</v>
      </c>
      <c r="C20" s="435"/>
      <c r="D20" s="434"/>
      <c r="E20" s="435">
        <f>+PROYECTOS!H1</f>
        <v>0</v>
      </c>
      <c r="H20" t="s">
        <v>12</v>
      </c>
    </row>
    <row r="21" spans="1:8">
      <c r="A21" s="5" t="s">
        <v>14</v>
      </c>
      <c r="B21" s="435">
        <f>+'EST. PROG.'!C21</f>
        <v>73122532</v>
      </c>
      <c r="C21" s="435"/>
      <c r="D21" s="434">
        <f>+'EST. PROG.'!E21</f>
        <v>71806632</v>
      </c>
      <c r="E21" s="435">
        <f>+'EST. PROG.'!H21</f>
        <v>60388090.600000001</v>
      </c>
      <c r="H21" t="s">
        <v>12</v>
      </c>
    </row>
    <row r="22" spans="1:8">
      <c r="A22" s="5" t="s">
        <v>12</v>
      </c>
      <c r="B22" s="435">
        <f>+PROYECTOS!F3</f>
        <v>0</v>
      </c>
      <c r="C22" s="435"/>
      <c r="D22" s="434"/>
      <c r="E22" s="435">
        <f>+PROYECTOS!H3</f>
        <v>0</v>
      </c>
      <c r="H22" t="s">
        <v>12</v>
      </c>
    </row>
    <row r="23" spans="1:8">
      <c r="A23" s="5" t="s">
        <v>15</v>
      </c>
      <c r="B23" s="435">
        <f>+'EST. PROG.'!C29</f>
        <v>15898148</v>
      </c>
      <c r="C23" s="435"/>
      <c r="D23" s="434">
        <f>+'EST. PROG.'!E29</f>
        <v>13853824</v>
      </c>
      <c r="E23" s="435">
        <f>+'EST. PROG.'!H29</f>
        <v>10436583.08</v>
      </c>
    </row>
    <row r="24" spans="1:8" ht="27.6" customHeight="1">
      <c r="A24" s="430"/>
      <c r="B24" s="438"/>
      <c r="C24" s="438"/>
      <c r="D24" s="437"/>
      <c r="E24" s="438"/>
    </row>
    <row r="25" spans="1:8" ht="21" customHeight="1">
      <c r="A25" s="441" t="s">
        <v>16</v>
      </c>
      <c r="B25" s="442">
        <f>+B26+B28+B30</f>
        <v>56905194</v>
      </c>
      <c r="C25" s="442">
        <f>SUM(C26:C30)</f>
        <v>0</v>
      </c>
      <c r="D25" s="443">
        <f>SUM(D26:D30)</f>
        <v>26708941</v>
      </c>
      <c r="E25" s="442">
        <f>+E26+E28+E30</f>
        <v>24360868.960000005</v>
      </c>
      <c r="F25" s="1" t="s">
        <v>12</v>
      </c>
    </row>
    <row r="26" spans="1:8" ht="23.25" customHeight="1">
      <c r="A26" s="5" t="s">
        <v>17</v>
      </c>
      <c r="B26" s="435">
        <f>+PROYECTOS!B8</f>
        <v>27799680</v>
      </c>
      <c r="C26" s="435"/>
      <c r="D26" s="434">
        <f>+PROYECTOS!E8</f>
        <v>9855138</v>
      </c>
      <c r="E26" s="435">
        <f>+PROYECTOS!H8</f>
        <v>9159278.0300000012</v>
      </c>
    </row>
    <row r="27" spans="1:8">
      <c r="A27" s="5"/>
      <c r="B27" s="435"/>
      <c r="C27" s="435"/>
      <c r="D27" s="434"/>
      <c r="E27" s="435" t="s">
        <v>12</v>
      </c>
    </row>
    <row r="28" spans="1:8">
      <c r="A28" s="5" t="s">
        <v>18</v>
      </c>
      <c r="B28" s="435">
        <f>+PROYECTOS!B16</f>
        <v>15761574</v>
      </c>
      <c r="C28" s="435"/>
      <c r="D28" s="434">
        <f>+PROYECTOS!E16</f>
        <v>8644808</v>
      </c>
      <c r="E28" s="435">
        <f>+PROYECTOS!H16</f>
        <v>8043755.0200000014</v>
      </c>
    </row>
    <row r="29" spans="1:8">
      <c r="A29" s="5"/>
      <c r="B29" s="1"/>
      <c r="C29" s="1"/>
      <c r="D29" s="444"/>
      <c r="E29" s="1" t="s">
        <v>12</v>
      </c>
    </row>
    <row r="30" spans="1:8">
      <c r="A30" s="5" t="s">
        <v>19</v>
      </c>
      <c r="B30" s="435">
        <f>+PROYECTOS!B33</f>
        <v>13343940</v>
      </c>
      <c r="C30" s="435"/>
      <c r="D30" s="434">
        <f>+PROYECTOS!E33</f>
        <v>8208995</v>
      </c>
      <c r="E30" s="435">
        <f>+PROYECTOS!H33</f>
        <v>7157835.9100000001</v>
      </c>
    </row>
    <row r="31" spans="1:8" ht="15">
      <c r="A31" s="430"/>
      <c r="B31" s="11"/>
      <c r="C31" s="11"/>
      <c r="D31" s="445"/>
      <c r="E31" s="446"/>
    </row>
    <row r="32" spans="1:8">
      <c r="A32" s="35"/>
      <c r="B32" s="35"/>
      <c r="C32" s="35"/>
      <c r="D32" s="35"/>
      <c r="E32" s="35"/>
    </row>
    <row r="33" spans="1:2">
      <c r="A33" s="665" t="s">
        <v>20</v>
      </c>
      <c r="B33" s="665"/>
    </row>
  </sheetData>
  <mergeCells count="3">
    <mergeCell ref="B5:E5"/>
    <mergeCell ref="A33:B33"/>
    <mergeCell ref="A4:A7"/>
  </mergeCells>
  <pageMargins left="0.94488188976377996" right="0.74803149606299202" top="0.98425196850393704" bottom="0.98425196850393704" header="0" footer="0"/>
  <pageSetup scale="80" orientation="portrait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tabColor theme="6" tint="-0.249977111117893"/>
  </sheetPr>
  <dimension ref="A1:Q51"/>
  <sheetViews>
    <sheetView showGridLines="0" showZeros="0" zoomScale="80" zoomScaleNormal="80" workbookViewId="0">
      <selection activeCell="S23" sqref="S23"/>
    </sheetView>
  </sheetViews>
  <sheetFormatPr baseColWidth="10" defaultColWidth="11" defaultRowHeight="12.75"/>
  <cols>
    <col min="1" max="1" width="77.85546875" customWidth="1"/>
    <col min="2" max="2" width="13.85546875" customWidth="1"/>
    <col min="3" max="3" width="14.85546875" hidden="1" customWidth="1"/>
    <col min="4" max="4" width="14.140625" hidden="1" customWidth="1"/>
    <col min="5" max="5" width="14.140625" customWidth="1"/>
    <col min="6" max="6" width="13" customWidth="1"/>
    <col min="7" max="7" width="17.140625" hidden="1" customWidth="1"/>
    <col min="8" max="8" width="17" customWidth="1"/>
    <col min="9" max="9" width="14.42578125" customWidth="1"/>
    <col min="10" max="10" width="13.5703125" customWidth="1"/>
    <col min="11" max="11" width="15.7109375" customWidth="1"/>
    <col min="12" max="12" width="16.7109375" hidden="1" customWidth="1"/>
    <col min="13" max="13" width="13.7109375" style="3" customWidth="1"/>
    <col min="14" max="14" width="0.140625" style="9" hidden="1" customWidth="1"/>
    <col min="15" max="15" width="16.5703125" hidden="1" customWidth="1"/>
    <col min="16" max="16" width="8" customWidth="1"/>
    <col min="17" max="17" width="14.7109375" customWidth="1"/>
  </cols>
  <sheetData>
    <row r="1" spans="1:17" ht="20.100000000000001" customHeight="1">
      <c r="A1" s="677" t="s">
        <v>460</v>
      </c>
      <c r="B1" s="677"/>
      <c r="C1" s="677"/>
      <c r="D1" s="677"/>
      <c r="E1" s="677"/>
      <c r="F1" s="677"/>
      <c r="G1" s="677"/>
      <c r="H1" s="677"/>
      <c r="I1" s="677"/>
      <c r="J1" s="677"/>
      <c r="K1" s="677"/>
      <c r="L1" s="677"/>
      <c r="M1" s="677"/>
    </row>
    <row r="2" spans="1:17" ht="20.100000000000001" customHeight="1">
      <c r="A2" s="677" t="s">
        <v>60</v>
      </c>
      <c r="B2" s="677"/>
      <c r="C2" s="677"/>
      <c r="D2" s="677"/>
      <c r="E2" s="677"/>
      <c r="F2" s="677"/>
      <c r="G2" s="677"/>
      <c r="H2" s="677"/>
      <c r="I2" s="677"/>
      <c r="J2" s="677"/>
      <c r="K2" s="677"/>
      <c r="L2" s="677"/>
      <c r="M2" s="677"/>
    </row>
    <row r="3" spans="1:17" ht="20.100000000000001" customHeight="1">
      <c r="A3" s="678" t="s">
        <v>482</v>
      </c>
      <c r="B3" s="678"/>
      <c r="C3" s="678"/>
      <c r="D3" s="678"/>
      <c r="E3" s="678"/>
      <c r="F3" s="678"/>
      <c r="G3" s="678"/>
      <c r="H3" s="678"/>
      <c r="I3" s="678"/>
      <c r="J3" s="678"/>
      <c r="K3" s="678"/>
      <c r="L3" s="678"/>
      <c r="M3" s="678"/>
    </row>
    <row r="4" spans="1:17" ht="20.100000000000001" customHeight="1">
      <c r="A4" s="678" t="s">
        <v>535</v>
      </c>
      <c r="B4" s="678"/>
      <c r="C4" s="678"/>
      <c r="D4" s="678"/>
      <c r="E4" s="678"/>
      <c r="F4" s="678"/>
      <c r="G4" s="678"/>
      <c r="H4" s="678"/>
      <c r="I4" s="678"/>
      <c r="J4" s="678"/>
      <c r="K4" s="678"/>
      <c r="L4" s="678"/>
      <c r="M4" s="678"/>
    </row>
    <row r="5" spans="1:17" ht="10.5" customHeight="1">
      <c r="A5" s="7"/>
      <c r="B5" s="7"/>
      <c r="C5" s="7"/>
      <c r="D5" s="7"/>
      <c r="E5" s="7"/>
      <c r="F5" s="7"/>
      <c r="G5" s="7"/>
      <c r="H5" s="12"/>
      <c r="I5" s="12"/>
      <c r="J5" s="12"/>
      <c r="K5" s="12"/>
      <c r="L5" s="12"/>
      <c r="O5" s="541" t="s">
        <v>12</v>
      </c>
    </row>
    <row r="6" spans="1:17" ht="20.25" customHeight="1">
      <c r="A6" s="783" t="s">
        <v>483</v>
      </c>
      <c r="B6" s="780" t="s">
        <v>50</v>
      </c>
      <c r="C6" s="781"/>
      <c r="D6" s="781"/>
      <c r="E6" s="781"/>
      <c r="F6" s="781"/>
      <c r="G6" s="781"/>
      <c r="H6" s="781"/>
      <c r="I6" s="781"/>
      <c r="J6" s="782"/>
      <c r="K6" s="785" t="s">
        <v>42</v>
      </c>
      <c r="L6" s="54" t="s">
        <v>484</v>
      </c>
      <c r="M6" s="787" t="s">
        <v>43</v>
      </c>
    </row>
    <row r="7" spans="1:17" ht="40.5" customHeight="1">
      <c r="A7" s="784"/>
      <c r="B7" s="13" t="s">
        <v>2</v>
      </c>
      <c r="C7" s="548" t="s">
        <v>529</v>
      </c>
      <c r="D7" s="583" t="s">
        <v>529</v>
      </c>
      <c r="E7" s="14" t="s">
        <v>3</v>
      </c>
      <c r="F7" s="14" t="s">
        <v>25</v>
      </c>
      <c r="G7" s="14" t="s">
        <v>65</v>
      </c>
      <c r="H7" s="14" t="s">
        <v>44</v>
      </c>
      <c r="I7" s="14" t="s">
        <v>48</v>
      </c>
      <c r="J7" s="14" t="s">
        <v>45</v>
      </c>
      <c r="K7" s="786"/>
      <c r="L7" s="54"/>
      <c r="M7" s="788"/>
    </row>
    <row r="8" spans="1:17" ht="20.100000000000001" customHeight="1">
      <c r="A8" s="15" t="s">
        <v>485</v>
      </c>
      <c r="B8" s="16">
        <f t="shared" ref="B8:G8" si="0">SUM(B9:B15)</f>
        <v>27799680</v>
      </c>
      <c r="C8" s="549">
        <f>SUM(C9:C15)</f>
        <v>17944542</v>
      </c>
      <c r="D8" s="55">
        <f>SUM(D9:D15)</f>
        <v>13960272</v>
      </c>
      <c r="E8" s="17">
        <f t="shared" si="0"/>
        <v>9855138</v>
      </c>
      <c r="F8" s="17">
        <f t="shared" si="0"/>
        <v>9855138</v>
      </c>
      <c r="G8" s="17">
        <f t="shared" si="0"/>
        <v>19922.52</v>
      </c>
      <c r="H8" s="17">
        <f>SUM(H9:H15)</f>
        <v>9159278.0300000012</v>
      </c>
      <c r="I8" s="17">
        <f>SUM(I9:I15)+1</f>
        <v>1605207.3699999999</v>
      </c>
      <c r="J8" s="17">
        <f>SUM(J9:J15)</f>
        <v>1541781.6</v>
      </c>
      <c r="K8" s="17">
        <f>+F8-H8-1</f>
        <v>695858.96999999881</v>
      </c>
      <c r="L8" s="55" t="e">
        <f>+L9+L15+#REF!+L10</f>
        <v>#REF!</v>
      </c>
      <c r="M8" s="527">
        <f>+H8*100/F8</f>
        <v>92.93911490635648</v>
      </c>
      <c r="N8" s="9">
        <f>N9+N10+N14+N15</f>
        <v>10552579.790000001</v>
      </c>
      <c r="O8">
        <v>9139355.5100000016</v>
      </c>
      <c r="Q8" s="595"/>
    </row>
    <row r="9" spans="1:17" ht="20.100000000000001" customHeight="1">
      <c r="A9" s="5" t="s">
        <v>486</v>
      </c>
      <c r="B9" s="18">
        <f>9834974</f>
        <v>9834974</v>
      </c>
      <c r="C9" s="550">
        <v>7187069</v>
      </c>
      <c r="D9" s="584">
        <v>5079707</v>
      </c>
      <c r="E9" s="18">
        <v>2647905</v>
      </c>
      <c r="F9" s="19">
        <v>2647905</v>
      </c>
      <c r="G9" s="19">
        <v>7871</v>
      </c>
      <c r="H9" s="19">
        <f>G9+O9</f>
        <v>2424054.27</v>
      </c>
      <c r="I9" s="19">
        <v>567271</v>
      </c>
      <c r="J9" s="19">
        <v>771057.71</v>
      </c>
      <c r="K9" s="56">
        <f>+F9-H9</f>
        <v>223850.72999999998</v>
      </c>
      <c r="L9" s="57">
        <f>+E9-H9</f>
        <v>223850.72999999998</v>
      </c>
      <c r="M9" s="528">
        <f>+H9*100/F9</f>
        <v>91.546119290533454</v>
      </c>
      <c r="N9" s="9">
        <v>2916063.22</v>
      </c>
      <c r="O9">
        <v>2416183.27</v>
      </c>
    </row>
    <row r="10" spans="1:17" ht="33" customHeight="1">
      <c r="A10" s="20" t="s">
        <v>487</v>
      </c>
      <c r="B10" s="21">
        <v>5000000</v>
      </c>
      <c r="C10" s="551">
        <v>3792226</v>
      </c>
      <c r="D10" s="585">
        <v>2998588</v>
      </c>
      <c r="E10" s="21">
        <v>1207774</v>
      </c>
      <c r="F10" s="22">
        <v>1207774</v>
      </c>
      <c r="G10" s="22">
        <v>0</v>
      </c>
      <c r="H10" s="22">
        <f>O10+G10</f>
        <v>1081862.27</v>
      </c>
      <c r="I10" s="22">
        <v>908513.71</v>
      </c>
      <c r="J10" s="22">
        <v>341076.31</v>
      </c>
      <c r="K10" s="58">
        <f>+F10-H10</f>
        <v>125911.72999999998</v>
      </c>
      <c r="L10" s="59">
        <f>+E10-H10</f>
        <v>125911.72999999998</v>
      </c>
      <c r="M10" s="529">
        <f>+H10*100/F10</f>
        <v>89.574893150539751</v>
      </c>
      <c r="N10" s="9">
        <v>1340260.42</v>
      </c>
      <c r="O10" s="60">
        <v>1081862.27</v>
      </c>
    </row>
    <row r="11" spans="1:17" ht="17.25" customHeight="1">
      <c r="A11" s="542" t="s">
        <v>530</v>
      </c>
      <c r="B11" s="18">
        <v>382798</v>
      </c>
      <c r="C11" s="550">
        <v>382798</v>
      </c>
      <c r="D11" s="584">
        <v>231399</v>
      </c>
      <c r="E11" s="18" t="s">
        <v>136</v>
      </c>
      <c r="F11" s="19" t="s">
        <v>136</v>
      </c>
      <c r="G11" s="19"/>
      <c r="H11" s="19"/>
      <c r="I11" s="19"/>
      <c r="J11" s="19"/>
      <c r="K11" s="58"/>
      <c r="L11" s="57"/>
      <c r="M11" s="529" t="s">
        <v>12</v>
      </c>
      <c r="Q11" s="537"/>
    </row>
    <row r="12" spans="1:17" ht="18" customHeight="1">
      <c r="A12" s="23" t="s">
        <v>488</v>
      </c>
      <c r="B12" s="18">
        <v>2000000</v>
      </c>
      <c r="C12" s="550">
        <v>1985796</v>
      </c>
      <c r="D12" s="584">
        <v>987809</v>
      </c>
      <c r="E12" s="18">
        <v>14204</v>
      </c>
      <c r="F12" s="19">
        <v>14204</v>
      </c>
      <c r="G12" s="19"/>
      <c r="H12" s="19"/>
      <c r="I12" s="19"/>
      <c r="J12" s="19"/>
      <c r="K12" s="58">
        <f t="shared" ref="K12:K15" si="1">+F12-H12</f>
        <v>14204</v>
      </c>
      <c r="L12" s="57"/>
      <c r="M12" s="529">
        <f t="shared" ref="M12:M20" si="2">+H12*100/F12</f>
        <v>0</v>
      </c>
    </row>
    <row r="13" spans="1:17" ht="20.25" customHeight="1">
      <c r="A13" s="23" t="s">
        <v>489</v>
      </c>
      <c r="B13" s="21">
        <v>1135854</v>
      </c>
      <c r="C13" s="551">
        <v>1079038</v>
      </c>
      <c r="D13" s="585">
        <v>760673</v>
      </c>
      <c r="E13" s="21">
        <v>56816</v>
      </c>
      <c r="F13" s="22">
        <v>56816</v>
      </c>
      <c r="G13" s="22"/>
      <c r="H13" s="22"/>
      <c r="I13" s="22"/>
      <c r="J13" s="22"/>
      <c r="K13" s="58">
        <f t="shared" si="1"/>
        <v>56816</v>
      </c>
      <c r="L13" s="59"/>
      <c r="M13" s="529">
        <f t="shared" si="2"/>
        <v>0</v>
      </c>
    </row>
    <row r="14" spans="1:17" ht="16.5" customHeight="1">
      <c r="A14" s="23" t="s">
        <v>490</v>
      </c>
      <c r="B14" s="21">
        <v>283423</v>
      </c>
      <c r="C14" s="551">
        <v>-198114</v>
      </c>
      <c r="D14" s="585">
        <v>141711</v>
      </c>
      <c r="E14" s="21">
        <v>481536</v>
      </c>
      <c r="F14" s="22">
        <v>481536</v>
      </c>
      <c r="G14" s="22">
        <v>0</v>
      </c>
      <c r="H14" s="22">
        <f>+G14+O14</f>
        <v>388354.46</v>
      </c>
      <c r="I14" s="22"/>
      <c r="J14" s="22">
        <v>181907.82</v>
      </c>
      <c r="K14" s="58">
        <f t="shared" si="1"/>
        <v>93181.539999999979</v>
      </c>
      <c r="L14" s="59"/>
      <c r="M14" s="529">
        <f t="shared" si="2"/>
        <v>80.649102040138217</v>
      </c>
      <c r="N14" s="9">
        <v>481536</v>
      </c>
      <c r="O14">
        <v>388354.46</v>
      </c>
      <c r="Q14" s="248"/>
    </row>
    <row r="15" spans="1:17" ht="16.5" customHeight="1">
      <c r="A15" s="5" t="s">
        <v>491</v>
      </c>
      <c r="B15" s="18">
        <v>9162631</v>
      </c>
      <c r="C15" s="552">
        <v>3715729</v>
      </c>
      <c r="D15" s="584">
        <v>3760385</v>
      </c>
      <c r="E15" s="18">
        <v>5446903</v>
      </c>
      <c r="F15" s="19">
        <v>5446903</v>
      </c>
      <c r="G15" s="19">
        <v>12051.52</v>
      </c>
      <c r="H15" s="19">
        <f>G15+O15</f>
        <v>5265007.03</v>
      </c>
      <c r="I15" s="19">
        <v>129421.66</v>
      </c>
      <c r="J15" s="19">
        <v>247739.76</v>
      </c>
      <c r="K15" s="61">
        <f t="shared" si="1"/>
        <v>181895.96999999974</v>
      </c>
      <c r="L15" s="57">
        <f>+E15-H15</f>
        <v>181895.96999999974</v>
      </c>
      <c r="M15" s="528">
        <f t="shared" si="2"/>
        <v>96.660561607210553</v>
      </c>
      <c r="N15" s="9">
        <v>5814720.1500000004</v>
      </c>
      <c r="O15" s="9">
        <v>5252955.5100000007</v>
      </c>
    </row>
    <row r="16" spans="1:17" ht="16.5" customHeight="1">
      <c r="A16" s="24" t="s">
        <v>492</v>
      </c>
      <c r="B16" s="25">
        <f>SUM(B17:B30)</f>
        <v>15761574</v>
      </c>
      <c r="C16" s="545"/>
      <c r="D16" s="545">
        <f>SUM(D17:D30)</f>
        <v>10261734.66</v>
      </c>
      <c r="E16" s="17">
        <f>SUM(E17:E30)</f>
        <v>8644808</v>
      </c>
      <c r="F16" s="17">
        <f>SUM(F17:F30)</f>
        <v>8644808</v>
      </c>
      <c r="G16" s="17">
        <f>SUM(G17:G30)</f>
        <v>4115.49</v>
      </c>
      <c r="H16" s="17">
        <f>H17+H18+H19+H20+H21+H22+H24+H25+H26+H27+H28+H29+H30</f>
        <v>8043755.0200000014</v>
      </c>
      <c r="I16" s="17">
        <f>SUM(I17:I30)</f>
        <v>5658539.6700000018</v>
      </c>
      <c r="J16" s="17">
        <f>SUM(J17:J30)</f>
        <v>4258380.62</v>
      </c>
      <c r="K16" s="17">
        <f>F16-H16</f>
        <v>601052.97999999858</v>
      </c>
      <c r="L16" s="55">
        <f>+E16-H16</f>
        <v>601052.97999999858</v>
      </c>
      <c r="M16" s="527">
        <f t="shared" si="2"/>
        <v>93.047237370685394</v>
      </c>
      <c r="N16" s="9">
        <f>N17+N18+N19+N20+N21+N22+N24+N25+N26+N27+N28+N29+N30</f>
        <v>7929759.870000001</v>
      </c>
      <c r="O16">
        <v>8039639.5300000012</v>
      </c>
      <c r="Q16" s="9"/>
    </row>
    <row r="17" spans="1:17" ht="21.6" customHeight="1">
      <c r="A17" s="26" t="s">
        <v>493</v>
      </c>
      <c r="B17" s="27">
        <v>2896997</v>
      </c>
      <c r="C17" s="30"/>
      <c r="D17" s="30">
        <v>2084500</v>
      </c>
      <c r="E17" s="28">
        <v>4920665</v>
      </c>
      <c r="F17" s="28">
        <v>4920665</v>
      </c>
      <c r="G17" s="19">
        <v>2618.83</v>
      </c>
      <c r="H17" s="29">
        <f>O17+G17</f>
        <v>4451608.43</v>
      </c>
      <c r="I17" s="19">
        <v>3384699.46</v>
      </c>
      <c r="J17" s="19">
        <v>2258911.83</v>
      </c>
      <c r="K17" s="19">
        <f>+E17-H17</f>
        <v>469056.5700000003</v>
      </c>
      <c r="L17" s="57"/>
      <c r="M17" s="528">
        <f t="shared" si="2"/>
        <v>90.467618299559106</v>
      </c>
      <c r="N17" s="9">
        <f>4379964.34-19174.4</f>
        <v>4360789.9399999995</v>
      </c>
      <c r="O17">
        <v>4448989.5999999996</v>
      </c>
      <c r="Q17" s="9"/>
    </row>
    <row r="18" spans="1:17" ht="21.6" customHeight="1">
      <c r="A18" s="20" t="s">
        <v>494</v>
      </c>
      <c r="B18" s="27">
        <v>1200000</v>
      </c>
      <c r="C18" s="30"/>
      <c r="D18" s="30">
        <v>706109.25</v>
      </c>
      <c r="E18" s="28">
        <v>421298</v>
      </c>
      <c r="F18" s="28">
        <v>421298</v>
      </c>
      <c r="G18" s="19"/>
      <c r="H18" s="29">
        <f t="shared" ref="H18:H30" si="3">O18+G18</f>
        <v>430390.75</v>
      </c>
      <c r="I18" s="19">
        <v>430390.75</v>
      </c>
      <c r="J18" s="19">
        <v>421297.08</v>
      </c>
      <c r="K18" s="58">
        <f>+E18-H18</f>
        <v>-9092.75</v>
      </c>
      <c r="L18" s="57"/>
      <c r="M18" s="528">
        <f t="shared" si="2"/>
        <v>102.15827039292851</v>
      </c>
      <c r="N18" s="9">
        <v>430390.75</v>
      </c>
      <c r="O18">
        <v>430390.75</v>
      </c>
    </row>
    <row r="19" spans="1:17" ht="20.100000000000001" customHeight="1">
      <c r="A19" s="20" t="s">
        <v>495</v>
      </c>
      <c r="B19" s="27">
        <v>4628400</v>
      </c>
      <c r="C19" s="30"/>
      <c r="D19" s="30">
        <v>2385818</v>
      </c>
      <c r="E19" s="28">
        <v>95571</v>
      </c>
      <c r="F19" s="28">
        <v>95571</v>
      </c>
      <c r="G19" s="19"/>
      <c r="H19" s="29">
        <f t="shared" si="3"/>
        <v>95444.94</v>
      </c>
      <c r="I19" s="19">
        <v>95444.94</v>
      </c>
      <c r="J19" s="19">
        <v>40970.1</v>
      </c>
      <c r="K19" s="19">
        <f>+F19-H19</f>
        <v>126.05999999999767</v>
      </c>
      <c r="L19" s="57">
        <f>+E19-H19</f>
        <v>126.05999999999767</v>
      </c>
      <c r="M19" s="528">
        <f t="shared" si="2"/>
        <v>99.868098063220017</v>
      </c>
      <c r="N19" s="9">
        <v>95444.94</v>
      </c>
      <c r="O19">
        <v>95444.94</v>
      </c>
    </row>
    <row r="20" spans="1:17" ht="20.100000000000001" customHeight="1">
      <c r="A20" s="20" t="s">
        <v>496</v>
      </c>
      <c r="B20" s="27">
        <v>2000000</v>
      </c>
      <c r="C20" s="30"/>
      <c r="D20" s="30">
        <v>1583358</v>
      </c>
      <c r="E20" s="28">
        <v>1795865</v>
      </c>
      <c r="F20" s="28">
        <v>1795865</v>
      </c>
      <c r="G20" s="19">
        <v>0</v>
      </c>
      <c r="H20" s="29">
        <f t="shared" si="3"/>
        <v>1750139.64</v>
      </c>
      <c r="I20" s="19">
        <v>1096884.0900000001</v>
      </c>
      <c r="J20" s="19">
        <v>1047862.83</v>
      </c>
      <c r="K20" s="19">
        <f>+F20-H20</f>
        <v>45725.360000000102</v>
      </c>
      <c r="L20" s="57"/>
      <c r="M20" s="528">
        <f t="shared" si="2"/>
        <v>97.453853157113699</v>
      </c>
      <c r="N20" s="9">
        <v>1731452.96</v>
      </c>
      <c r="O20">
        <v>1750139.64</v>
      </c>
    </row>
    <row r="21" spans="1:17" ht="15.75" customHeight="1">
      <c r="A21" s="20" t="s">
        <v>497</v>
      </c>
      <c r="B21" s="27">
        <v>1000000</v>
      </c>
      <c r="C21" s="30"/>
      <c r="D21" s="30">
        <v>454424</v>
      </c>
      <c r="E21" s="28">
        <v>529723</v>
      </c>
      <c r="F21" s="28">
        <v>529723</v>
      </c>
      <c r="G21" s="19"/>
      <c r="H21" s="29">
        <f t="shared" si="3"/>
        <v>511856.07</v>
      </c>
      <c r="I21" s="19">
        <v>106064.54</v>
      </c>
      <c r="J21" s="19">
        <v>92974.23</v>
      </c>
      <c r="K21" s="19"/>
      <c r="L21" s="57"/>
      <c r="M21" s="528">
        <f t="shared" ref="M21:M30" si="4">+H21*100/F21</f>
        <v>96.62711832410524</v>
      </c>
      <c r="N21" s="9">
        <v>511856.07</v>
      </c>
      <c r="O21">
        <v>511856.07</v>
      </c>
    </row>
    <row r="22" spans="1:17" ht="16.5" customHeight="1">
      <c r="A22" s="26" t="s">
        <v>498</v>
      </c>
      <c r="B22" s="27">
        <v>1270000</v>
      </c>
      <c r="C22" s="30"/>
      <c r="D22" s="30">
        <v>1015903</v>
      </c>
      <c r="E22" s="28">
        <v>199885</v>
      </c>
      <c r="F22" s="28">
        <v>199885</v>
      </c>
      <c r="G22" s="19"/>
      <c r="H22" s="29">
        <f t="shared" si="3"/>
        <v>196884.57</v>
      </c>
      <c r="I22" s="19">
        <v>38781.19</v>
      </c>
      <c r="J22" s="19">
        <v>30055.17</v>
      </c>
      <c r="K22" s="58">
        <f>+F22-I22</f>
        <v>161103.81</v>
      </c>
      <c r="L22" s="57"/>
      <c r="M22" s="528">
        <f t="shared" si="4"/>
        <v>98.498921880081042</v>
      </c>
      <c r="N22" s="9">
        <v>196884.57</v>
      </c>
      <c r="O22">
        <v>196884.57</v>
      </c>
    </row>
    <row r="23" spans="1:17" ht="14.25" customHeight="1">
      <c r="A23" s="20" t="s">
        <v>499</v>
      </c>
      <c r="B23" s="27">
        <v>106000</v>
      </c>
      <c r="C23" s="30"/>
      <c r="D23" s="30">
        <v>53000</v>
      </c>
      <c r="E23" s="28">
        <v>0</v>
      </c>
      <c r="F23" s="28">
        <v>0</v>
      </c>
      <c r="G23" s="19"/>
      <c r="H23" s="29">
        <f t="shared" si="3"/>
        <v>0</v>
      </c>
      <c r="I23" s="19"/>
      <c r="J23" s="19"/>
      <c r="K23" s="19"/>
      <c r="L23" s="57"/>
      <c r="M23" s="528" t="s">
        <v>12</v>
      </c>
      <c r="O23">
        <v>0</v>
      </c>
    </row>
    <row r="24" spans="1:17" ht="16.5" customHeight="1">
      <c r="A24" s="20" t="s">
        <v>500</v>
      </c>
      <c r="B24" s="27">
        <v>149583</v>
      </c>
      <c r="C24" s="30"/>
      <c r="D24" s="30">
        <v>79059.41</v>
      </c>
      <c r="E24" s="28">
        <v>64497</v>
      </c>
      <c r="F24" s="28">
        <v>64497</v>
      </c>
      <c r="G24" s="19">
        <v>0</v>
      </c>
      <c r="H24" s="29">
        <f t="shared" si="3"/>
        <v>65815.59</v>
      </c>
      <c r="I24" s="19">
        <v>65815.59</v>
      </c>
      <c r="J24" s="19">
        <v>64495.82</v>
      </c>
      <c r="K24" s="58">
        <f>+F24-H24</f>
        <v>-1318.5899999999965</v>
      </c>
      <c r="L24" s="57"/>
      <c r="M24" s="528">
        <f t="shared" si="4"/>
        <v>102.04442067072887</v>
      </c>
      <c r="N24" s="9">
        <v>65815.59</v>
      </c>
      <c r="O24">
        <v>65815.59</v>
      </c>
    </row>
    <row r="25" spans="1:17" ht="18.75" customHeight="1">
      <c r="A25" s="543" t="s">
        <v>532</v>
      </c>
      <c r="B25" s="589">
        <v>750000</v>
      </c>
      <c r="C25" s="30"/>
      <c r="D25" s="30">
        <v>755355</v>
      </c>
      <c r="E25" s="28">
        <v>54030</v>
      </c>
      <c r="F25" s="28">
        <v>54030</v>
      </c>
      <c r="G25" s="19">
        <v>0</v>
      </c>
      <c r="H25" s="29">
        <f t="shared" si="3"/>
        <v>50468.69</v>
      </c>
      <c r="I25" s="19">
        <v>50468.69</v>
      </c>
      <c r="J25" s="19">
        <v>50468.69</v>
      </c>
      <c r="K25" s="19">
        <f>+F25-H25</f>
        <v>3561.3099999999977</v>
      </c>
      <c r="L25" s="57">
        <f>+E25-H25</f>
        <v>3561.3099999999977</v>
      </c>
      <c r="M25" s="528">
        <f t="shared" si="4"/>
        <v>93.408643346289097</v>
      </c>
      <c r="N25" s="62">
        <v>50468.69</v>
      </c>
      <c r="O25">
        <v>50468.69</v>
      </c>
    </row>
    <row r="26" spans="1:17" ht="20.25" customHeight="1">
      <c r="A26" s="20" t="s">
        <v>501</v>
      </c>
      <c r="B26" s="589">
        <v>519956</v>
      </c>
      <c r="C26" s="30"/>
      <c r="D26" s="30">
        <v>291331</v>
      </c>
      <c r="E26" s="28">
        <v>123714</v>
      </c>
      <c r="F26" s="28">
        <v>123714</v>
      </c>
      <c r="G26" s="19">
        <v>1496.66</v>
      </c>
      <c r="H26" s="29">
        <f t="shared" si="3"/>
        <v>93140.400000000009</v>
      </c>
      <c r="I26" s="19">
        <v>88184.94</v>
      </c>
      <c r="J26" s="19">
        <v>72724.27</v>
      </c>
      <c r="K26" s="19">
        <f>+F26-H26</f>
        <v>30573.599999999991</v>
      </c>
      <c r="L26" s="57">
        <f>+E26-H26</f>
        <v>30573.599999999991</v>
      </c>
      <c r="M26" s="528">
        <f t="shared" si="4"/>
        <v>75.286871332266358</v>
      </c>
      <c r="N26" s="9">
        <v>88650.42</v>
      </c>
      <c r="O26">
        <v>91643.74</v>
      </c>
    </row>
    <row r="27" spans="1:17" ht="19.5" customHeight="1">
      <c r="A27" s="20" t="s">
        <v>502</v>
      </c>
      <c r="B27" s="590">
        <v>271625</v>
      </c>
      <c r="C27" s="30"/>
      <c r="D27" s="30">
        <v>135812</v>
      </c>
      <c r="E27" s="28">
        <v>59422</v>
      </c>
      <c r="F27" s="28">
        <v>59422</v>
      </c>
      <c r="G27" s="19">
        <v>0</v>
      </c>
      <c r="H27" s="29">
        <f t="shared" si="3"/>
        <v>59422</v>
      </c>
      <c r="I27" s="19">
        <v>59422</v>
      </c>
      <c r="J27" s="19">
        <v>6496</v>
      </c>
      <c r="K27" s="19">
        <f t="shared" ref="K27:K30" si="5">+F27-H27</f>
        <v>0</v>
      </c>
      <c r="L27" s="57"/>
      <c r="M27" s="528">
        <f t="shared" si="4"/>
        <v>100</v>
      </c>
      <c r="N27" s="9">
        <v>59422</v>
      </c>
      <c r="O27">
        <v>59422</v>
      </c>
    </row>
    <row r="28" spans="1:17" ht="19.5" customHeight="1">
      <c r="A28" s="20" t="s">
        <v>503</v>
      </c>
      <c r="B28" s="590">
        <v>394105</v>
      </c>
      <c r="C28" s="30"/>
      <c r="D28" s="590">
        <v>247814</v>
      </c>
      <c r="E28" s="48">
        <v>150942</v>
      </c>
      <c r="F28" s="28">
        <v>150942</v>
      </c>
      <c r="G28" s="19"/>
      <c r="H28" s="29">
        <f t="shared" si="3"/>
        <v>150941.16</v>
      </c>
      <c r="I28" s="19">
        <v>65423.28</v>
      </c>
      <c r="J28" s="19">
        <v>37543.82</v>
      </c>
      <c r="K28" s="19">
        <f t="shared" si="5"/>
        <v>0.83999999999650754</v>
      </c>
      <c r="L28" s="57"/>
      <c r="M28" s="528">
        <f t="shared" si="4"/>
        <v>99.999443494852329</v>
      </c>
      <c r="N28" s="9">
        <v>150941.16</v>
      </c>
      <c r="O28">
        <v>150941.16</v>
      </c>
    </row>
    <row r="29" spans="1:17" ht="18" customHeight="1">
      <c r="A29" s="543" t="s">
        <v>531</v>
      </c>
      <c r="B29" s="590">
        <v>437560</v>
      </c>
      <c r="C29" s="30"/>
      <c r="D29" s="590">
        <v>291464</v>
      </c>
      <c r="E29" s="48">
        <v>126412</v>
      </c>
      <c r="F29" s="28">
        <v>126412</v>
      </c>
      <c r="G29" s="19"/>
      <c r="H29" s="29">
        <f t="shared" si="3"/>
        <v>126411.66</v>
      </c>
      <c r="I29" s="19">
        <v>126411.66</v>
      </c>
      <c r="J29" s="19">
        <v>123426.36</v>
      </c>
      <c r="K29" s="19">
        <f t="shared" si="5"/>
        <v>0.33999999999650754</v>
      </c>
      <c r="L29" s="57"/>
      <c r="M29" s="528">
        <f t="shared" si="4"/>
        <v>99.999731038192579</v>
      </c>
      <c r="N29" s="9">
        <v>126411.66</v>
      </c>
      <c r="O29">
        <v>126411.66</v>
      </c>
    </row>
    <row r="30" spans="1:17" ht="18.75" customHeight="1">
      <c r="A30" s="20" t="s">
        <v>504</v>
      </c>
      <c r="B30" s="590">
        <v>137348</v>
      </c>
      <c r="C30" s="30"/>
      <c r="D30" s="590">
        <v>177787</v>
      </c>
      <c r="E30" s="48">
        <v>102784</v>
      </c>
      <c r="F30" s="28">
        <v>102784</v>
      </c>
      <c r="G30" s="19"/>
      <c r="H30" s="29">
        <f t="shared" si="3"/>
        <v>61231.12</v>
      </c>
      <c r="I30" s="19">
        <v>50548.54</v>
      </c>
      <c r="J30" s="19">
        <v>11154.42</v>
      </c>
      <c r="K30" s="19">
        <f t="shared" si="5"/>
        <v>41552.879999999997</v>
      </c>
      <c r="L30" s="57"/>
      <c r="M30" s="528">
        <f t="shared" si="4"/>
        <v>59.572618306351181</v>
      </c>
      <c r="N30" s="9">
        <v>61231.12</v>
      </c>
      <c r="O30">
        <v>61231.12</v>
      </c>
    </row>
    <row r="31" spans="1:17" ht="0.75" customHeight="1">
      <c r="A31" s="31"/>
      <c r="B31" s="32"/>
      <c r="C31" s="31"/>
      <c r="D31" s="32"/>
      <c r="E31" s="31"/>
      <c r="F31" s="32"/>
      <c r="G31" s="33"/>
      <c r="H31" s="34"/>
      <c r="I31" s="34"/>
      <c r="J31" s="34"/>
      <c r="K31" s="34"/>
      <c r="L31" s="31"/>
      <c r="M31" s="530"/>
    </row>
    <row r="32" spans="1:17" ht="5.25" customHeight="1">
      <c r="A32" s="35"/>
      <c r="B32" s="36"/>
      <c r="C32" s="35"/>
      <c r="D32" s="593"/>
      <c r="E32" s="35"/>
      <c r="F32" s="36"/>
      <c r="G32" s="37"/>
      <c r="H32" s="37"/>
      <c r="I32" s="38"/>
      <c r="J32" s="37"/>
      <c r="K32" s="38"/>
      <c r="L32" s="35"/>
      <c r="M32" s="299"/>
    </row>
    <row r="33" spans="1:17" ht="14.25" customHeight="1">
      <c r="A33" s="39" t="s">
        <v>505</v>
      </c>
      <c r="B33" s="40">
        <f>SUM(B34:B41)</f>
        <v>13343940</v>
      </c>
      <c r="C33" s="64"/>
      <c r="D33" s="40">
        <f>SUM(D34:D41)</f>
        <v>5850358.8499999996</v>
      </c>
      <c r="E33" s="64">
        <f>SUM(E34:E41)</f>
        <v>8208995</v>
      </c>
      <c r="F33" s="40">
        <f t="shared" ref="F33:J33" si="6">SUM(F34:F41)</f>
        <v>8208995</v>
      </c>
      <c r="G33" s="41">
        <f t="shared" si="6"/>
        <v>3755.58</v>
      </c>
      <c r="H33" s="40">
        <f t="shared" si="6"/>
        <v>7157835.9100000001</v>
      </c>
      <c r="I33" s="40">
        <f>SUM(I34:I41)</f>
        <v>5390618.8300000001</v>
      </c>
      <c r="J33" s="40">
        <f t="shared" si="6"/>
        <v>2185047.9500000002</v>
      </c>
      <c r="K33" s="63">
        <f>F33-H33</f>
        <v>1051159.0899999999</v>
      </c>
      <c r="L33" s="64">
        <f>E33-H33</f>
        <v>1051159.0899999999</v>
      </c>
      <c r="M33" s="531">
        <f>+H33*100/F33</f>
        <v>87.195033131339457</v>
      </c>
      <c r="N33" s="9">
        <f>N34+N35+N36+N37+N38+N39+N40+N41</f>
        <v>7142966.3700000001</v>
      </c>
      <c r="O33">
        <v>7154080.3300000001</v>
      </c>
      <c r="P33" s="1" t="s">
        <v>12</v>
      </c>
    </row>
    <row r="34" spans="1:17" ht="20.100000000000001" customHeight="1">
      <c r="A34" s="42" t="s">
        <v>506</v>
      </c>
      <c r="B34" s="591">
        <v>350999</v>
      </c>
      <c r="C34" s="57"/>
      <c r="D34" s="594">
        <v>138696.59</v>
      </c>
      <c r="E34" s="43">
        <v>115513</v>
      </c>
      <c r="F34" s="44">
        <v>115513</v>
      </c>
      <c r="G34" s="45"/>
      <c r="H34" s="19">
        <f>G34+O34</f>
        <v>165845.41</v>
      </c>
      <c r="I34" s="19">
        <v>165845.41</v>
      </c>
      <c r="J34" s="19">
        <v>16417.009999999998</v>
      </c>
      <c r="K34" s="58">
        <f>F34-H34</f>
        <v>-50332.41</v>
      </c>
      <c r="L34" s="57"/>
      <c r="M34" s="528">
        <f t="shared" ref="M34:M42" si="7">+H34*100/F34</f>
        <v>143.57293984226882</v>
      </c>
      <c r="N34" s="9">
        <v>165845.41</v>
      </c>
      <c r="O34">
        <v>165845.41</v>
      </c>
    </row>
    <row r="35" spans="1:17" ht="20.100000000000001" customHeight="1">
      <c r="A35" s="46" t="s">
        <v>507</v>
      </c>
      <c r="B35" s="27">
        <v>779586</v>
      </c>
      <c r="C35" s="546"/>
      <c r="D35" s="589">
        <v>389793</v>
      </c>
      <c r="E35" s="43">
        <v>100000</v>
      </c>
      <c r="F35" s="47">
        <v>100000</v>
      </c>
      <c r="G35" s="48"/>
      <c r="H35" s="19">
        <f t="shared" ref="H35:H41" si="8">G35+O35</f>
        <v>99999.29</v>
      </c>
      <c r="I35" s="19">
        <v>99999.29</v>
      </c>
      <c r="J35" s="19">
        <v>99999.29</v>
      </c>
      <c r="K35" s="19">
        <f>F35-H35</f>
        <v>0.71000000000640284</v>
      </c>
      <c r="L35" s="57">
        <f>+E35-H35</f>
        <v>0.71000000000640284</v>
      </c>
      <c r="M35" s="528">
        <f t="shared" si="7"/>
        <v>99.999290000000002</v>
      </c>
      <c r="N35" s="9">
        <v>99999.29</v>
      </c>
      <c r="O35">
        <v>99999.29</v>
      </c>
    </row>
    <row r="36" spans="1:17" ht="21" customHeight="1">
      <c r="A36" s="49" t="s">
        <v>508</v>
      </c>
      <c r="B36" s="47">
        <v>1000000</v>
      </c>
      <c r="C36" s="547"/>
      <c r="D36" s="47">
        <v>500000</v>
      </c>
      <c r="E36" s="43">
        <v>1000000</v>
      </c>
      <c r="F36" s="47">
        <v>1000000</v>
      </c>
      <c r="G36" s="48"/>
      <c r="H36" s="19">
        <f t="shared" si="8"/>
        <v>1000000</v>
      </c>
      <c r="I36" s="19">
        <v>1000000</v>
      </c>
      <c r="J36" s="19"/>
      <c r="K36" s="19">
        <f>F36-H36</f>
        <v>0</v>
      </c>
      <c r="L36" s="57">
        <f>+E36-H36</f>
        <v>0</v>
      </c>
      <c r="M36" s="528" t="s">
        <v>12</v>
      </c>
      <c r="N36" s="9">
        <v>1000000</v>
      </c>
      <c r="O36">
        <v>1000000</v>
      </c>
    </row>
    <row r="37" spans="1:17" ht="20.25" customHeight="1">
      <c r="A37" s="544" t="s">
        <v>533</v>
      </c>
      <c r="B37" s="47">
        <v>1845166</v>
      </c>
      <c r="C37" s="47"/>
      <c r="D37" s="47">
        <v>909683</v>
      </c>
      <c r="E37" s="592">
        <v>576307</v>
      </c>
      <c r="F37" s="47">
        <v>576307</v>
      </c>
      <c r="G37" s="28"/>
      <c r="H37" s="19">
        <f t="shared" si="8"/>
        <v>576306.87</v>
      </c>
      <c r="I37" s="19">
        <v>512859.68</v>
      </c>
      <c r="J37" s="19">
        <v>431911</v>
      </c>
      <c r="K37" s="19">
        <f t="shared" ref="K37:K42" si="9">F37-H37</f>
        <v>0.13000000000465661</v>
      </c>
      <c r="L37" s="57"/>
      <c r="M37" s="528">
        <f t="shared" si="7"/>
        <v>99.999977442578341</v>
      </c>
      <c r="N37" s="9">
        <v>576306.87</v>
      </c>
      <c r="O37">
        <v>576306.87</v>
      </c>
    </row>
    <row r="38" spans="1:17" ht="33.75" customHeight="1">
      <c r="A38" s="49" t="s">
        <v>509</v>
      </c>
      <c r="B38" s="586">
        <v>4700585</v>
      </c>
      <c r="C38" s="586"/>
      <c r="D38" s="586">
        <v>2937611.26</v>
      </c>
      <c r="E38" s="587">
        <v>2462294</v>
      </c>
      <c r="F38" s="586">
        <v>2462294</v>
      </c>
      <c r="G38" s="588">
        <v>0</v>
      </c>
      <c r="H38" s="22">
        <v>2475667.5099999998</v>
      </c>
      <c r="I38" s="22">
        <v>1566325.92</v>
      </c>
      <c r="J38" s="22">
        <v>1288755.5900000001</v>
      </c>
      <c r="K38" s="58">
        <f t="shared" si="9"/>
        <v>-13373.509999999776</v>
      </c>
      <c r="L38" s="57"/>
      <c r="M38" s="528">
        <f t="shared" si="7"/>
        <v>100.54313213612996</v>
      </c>
      <c r="N38" s="9">
        <v>2471740.61</v>
      </c>
      <c r="O38">
        <v>2475667.5099999998</v>
      </c>
    </row>
    <row r="39" spans="1:17" ht="33.75" customHeight="1">
      <c r="A39" s="49" t="s">
        <v>510</v>
      </c>
      <c r="B39" s="47">
        <v>500000</v>
      </c>
      <c r="C39" s="47"/>
      <c r="D39" s="47"/>
      <c r="E39" s="50">
        <v>799000</v>
      </c>
      <c r="F39" s="47">
        <v>799000</v>
      </c>
      <c r="G39" s="28"/>
      <c r="H39" s="19">
        <f t="shared" si="8"/>
        <v>787922.29</v>
      </c>
      <c r="I39" s="19">
        <v>2247</v>
      </c>
      <c r="J39" s="19">
        <v>2247</v>
      </c>
      <c r="K39" s="19">
        <f t="shared" si="9"/>
        <v>11077.709999999963</v>
      </c>
      <c r="L39" s="57"/>
      <c r="M39" s="528">
        <f t="shared" si="7"/>
        <v>98.613553191489359</v>
      </c>
      <c r="N39" s="9">
        <v>787922.29</v>
      </c>
      <c r="O39">
        <v>787922.29</v>
      </c>
    </row>
    <row r="40" spans="1:17" ht="36" customHeight="1">
      <c r="A40" s="49" t="s">
        <v>511</v>
      </c>
      <c r="B40" s="47">
        <v>2067604</v>
      </c>
      <c r="C40" s="47"/>
      <c r="D40" s="47">
        <v>974575</v>
      </c>
      <c r="E40" s="50">
        <v>1806881</v>
      </c>
      <c r="F40" s="47">
        <v>1806881</v>
      </c>
      <c r="G40" s="28">
        <v>3755.58</v>
      </c>
      <c r="H40" s="19">
        <f t="shared" si="8"/>
        <v>1753094.55</v>
      </c>
      <c r="I40" s="19">
        <v>1744341.54</v>
      </c>
      <c r="J40" s="19">
        <v>46718.07</v>
      </c>
      <c r="K40" s="19">
        <f t="shared" si="9"/>
        <v>53786.449999999953</v>
      </c>
      <c r="L40" s="57"/>
      <c r="M40" s="528">
        <f t="shared" si="7"/>
        <v>97.023243367991583</v>
      </c>
      <c r="N40" s="9">
        <v>1742151.91</v>
      </c>
      <c r="O40">
        <v>1749338.97</v>
      </c>
    </row>
    <row r="41" spans="1:17" ht="21.75" customHeight="1">
      <c r="A41" s="49" t="s">
        <v>512</v>
      </c>
      <c r="B41" s="47">
        <v>2100000</v>
      </c>
      <c r="C41" s="47"/>
      <c r="D41" s="47"/>
      <c r="E41" s="50">
        <v>1349000</v>
      </c>
      <c r="F41" s="47">
        <v>1349000</v>
      </c>
      <c r="G41" s="30"/>
      <c r="H41" s="19">
        <f t="shared" si="8"/>
        <v>298999.99</v>
      </c>
      <c r="I41" s="45">
        <v>298999.99</v>
      </c>
      <c r="J41" s="19">
        <v>298999.99</v>
      </c>
      <c r="K41" s="19">
        <f t="shared" si="9"/>
        <v>1050000.01</v>
      </c>
      <c r="L41" s="57"/>
      <c r="M41" s="528">
        <f t="shared" si="7"/>
        <v>22.164565604151225</v>
      </c>
      <c r="N41" s="9">
        <v>298999.99</v>
      </c>
      <c r="O41">
        <v>298999.99</v>
      </c>
      <c r="Q41" s="248"/>
    </row>
    <row r="42" spans="1:17" ht="20.100000000000001" customHeight="1">
      <c r="A42" s="15" t="s">
        <v>21</v>
      </c>
      <c r="B42" s="16">
        <f>B8+B16+B33</f>
        <v>56905194</v>
      </c>
      <c r="C42" s="55"/>
      <c r="D42" s="55">
        <f>+D8+D16+D33</f>
        <v>30072365.509999998</v>
      </c>
      <c r="E42" s="17">
        <f>+E8+E16+E33</f>
        <v>26708941</v>
      </c>
      <c r="F42" s="17">
        <f>+F8+F16+F33</f>
        <v>26708941</v>
      </c>
      <c r="G42" s="16">
        <f>+G8+G16+G33</f>
        <v>27793.590000000004</v>
      </c>
      <c r="H42" s="497">
        <f>+H8+H16+H33</f>
        <v>24360868.960000005</v>
      </c>
      <c r="I42" s="16">
        <f>I8+I16+I33-1</f>
        <v>12654364.870000001</v>
      </c>
      <c r="J42" s="16">
        <f>J8+J16+J33</f>
        <v>7985210.1700000009</v>
      </c>
      <c r="K42" s="496">
        <f t="shared" si="9"/>
        <v>2348072.0399999954</v>
      </c>
      <c r="L42" s="55">
        <f>E42-H42</f>
        <v>2348072.0399999954</v>
      </c>
      <c r="M42" s="527">
        <f t="shared" si="7"/>
        <v>91.208666640882555</v>
      </c>
      <c r="N42" s="9">
        <v>25647260.289999999</v>
      </c>
      <c r="O42">
        <v>24333075.370000005</v>
      </c>
      <c r="Q42" s="9"/>
    </row>
    <row r="43" spans="1:17" ht="9" customHeight="1">
      <c r="A43" s="51"/>
      <c r="N43" s="9" t="s">
        <v>12</v>
      </c>
    </row>
    <row r="44" spans="1:17">
      <c r="A44" s="52" t="s">
        <v>41</v>
      </c>
      <c r="D44">
        <v>30196253</v>
      </c>
      <c r="E44" s="1" t="s">
        <v>12</v>
      </c>
    </row>
    <row r="46" spans="1:17">
      <c r="D46" s="1">
        <f>+D44-D42</f>
        <v>123887.49000000209</v>
      </c>
    </row>
    <row r="51" spans="5:6">
      <c r="E51" s="1"/>
      <c r="F51" s="1" t="s">
        <v>12</v>
      </c>
    </row>
  </sheetData>
  <mergeCells count="8">
    <mergeCell ref="A1:M1"/>
    <mergeCell ref="A2:M2"/>
    <mergeCell ref="A3:M3"/>
    <mergeCell ref="A4:M4"/>
    <mergeCell ref="B6:J6"/>
    <mergeCell ref="A6:A7"/>
    <mergeCell ref="K6:K7"/>
    <mergeCell ref="M6:M7"/>
  </mergeCells>
  <pageMargins left="0.47244094488188998" right="0.94488188976377996" top="0.39370078740157499" bottom="0.39370078740157499" header="0.31496062992126" footer="0.31496062992126"/>
  <pageSetup paperSize="5" scale="65" orientation="landscape" r:id="rId1"/>
  <ignoredErrors>
    <ignoredError sqref="K16 H16 I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theme="6" tint="-0.249977111117893"/>
  </sheetPr>
  <dimension ref="A1:P127"/>
  <sheetViews>
    <sheetView showGridLines="0" showZeros="0" workbookViewId="0">
      <selection activeCell="L56" sqref="L56"/>
    </sheetView>
  </sheetViews>
  <sheetFormatPr baseColWidth="10" defaultColWidth="11" defaultRowHeight="12.75"/>
  <cols>
    <col min="1" max="1" width="14.85546875" style="357" customWidth="1"/>
    <col min="2" max="2" width="41.140625" style="4" customWidth="1"/>
    <col min="3" max="3" width="12.5703125" style="4" customWidth="1"/>
    <col min="4" max="4" width="12.85546875" style="4" hidden="1" customWidth="1"/>
    <col min="5" max="6" width="12.85546875" style="4" customWidth="1"/>
    <col min="7" max="7" width="10.42578125" style="4" customWidth="1"/>
    <col min="8" max="8" width="12.28515625" style="4" customWidth="1"/>
    <col min="9" max="9" width="13.42578125" style="4" customWidth="1"/>
    <col min="10" max="10" width="12.42578125" style="357" customWidth="1"/>
    <col min="11" max="11" width="16.7109375" style="358" customWidth="1"/>
    <col min="12" max="12" width="12.7109375" style="357" bestFit="1" customWidth="1"/>
    <col min="13" max="13" width="13" style="357" customWidth="1"/>
    <col min="14" max="14" width="17.7109375" style="357" customWidth="1"/>
    <col min="15" max="16384" width="11" style="357"/>
  </cols>
  <sheetData>
    <row r="1" spans="1:16" ht="21.75" customHeight="1">
      <c r="A1"/>
      <c r="B1" s="677" t="s">
        <v>59</v>
      </c>
      <c r="C1" s="677"/>
      <c r="D1" s="677"/>
      <c r="E1" s="677"/>
      <c r="F1" s="677"/>
      <c r="G1" s="677"/>
      <c r="H1" s="677"/>
      <c r="I1" s="677"/>
      <c r="J1" s="677"/>
      <c r="K1" s="411"/>
      <c r="L1" s="290"/>
      <c r="M1" s="290"/>
      <c r="N1" s="290"/>
    </row>
    <row r="2" spans="1:16" ht="18" customHeight="1">
      <c r="A2"/>
      <c r="B2" s="677" t="s">
        <v>60</v>
      </c>
      <c r="C2" s="677"/>
      <c r="D2" s="677"/>
      <c r="E2" s="677"/>
      <c r="F2" s="677"/>
      <c r="G2" s="677"/>
      <c r="H2" s="677"/>
      <c r="I2" s="677"/>
      <c r="J2" s="677"/>
      <c r="K2" s="411"/>
      <c r="L2" s="290"/>
      <c r="M2" s="290"/>
      <c r="N2" s="290"/>
    </row>
    <row r="3" spans="1:16" ht="15">
      <c r="A3"/>
      <c r="B3" s="678" t="s">
        <v>61</v>
      </c>
      <c r="C3" s="678"/>
      <c r="D3" s="678"/>
      <c r="E3" s="678"/>
      <c r="F3" s="678"/>
      <c r="G3" s="678"/>
      <c r="H3" s="678"/>
      <c r="I3" s="678"/>
      <c r="J3" s="678"/>
    </row>
    <row r="4" spans="1:16" ht="20.25" customHeight="1">
      <c r="A4"/>
      <c r="B4" s="678" t="s">
        <v>538</v>
      </c>
      <c r="C4" s="678"/>
      <c r="D4" s="678"/>
      <c r="E4" s="678"/>
      <c r="F4" s="678"/>
      <c r="G4" s="678"/>
      <c r="H4" s="678"/>
      <c r="I4" s="678"/>
      <c r="J4" s="678"/>
    </row>
    <row r="5" spans="1:16" ht="9.75" customHeight="1">
      <c r="A5"/>
      <c r="B5" s="359"/>
      <c r="C5" s="359"/>
      <c r="D5" s="359"/>
      <c r="E5" s="359"/>
      <c r="F5" s="359"/>
      <c r="G5" s="359"/>
      <c r="H5" s="359"/>
      <c r="I5"/>
      <c r="J5" t="s">
        <v>12</v>
      </c>
    </row>
    <row r="6" spans="1:16" ht="24" customHeight="1">
      <c r="A6" s="673" t="s">
        <v>62</v>
      </c>
      <c r="B6" s="675" t="s">
        <v>0</v>
      </c>
      <c r="C6" s="679" t="s">
        <v>50</v>
      </c>
      <c r="D6" s="680"/>
      <c r="E6" s="680"/>
      <c r="F6" s="681"/>
      <c r="G6" s="682" t="s">
        <v>63</v>
      </c>
      <c r="H6" s="683"/>
      <c r="I6" s="684" t="s">
        <v>24</v>
      </c>
      <c r="J6" s="685"/>
    </row>
    <row r="7" spans="1:16" ht="36" customHeight="1">
      <c r="A7" s="674"/>
      <c r="B7" s="676"/>
      <c r="C7" s="361" t="s">
        <v>2</v>
      </c>
      <c r="D7" s="361" t="s">
        <v>529</v>
      </c>
      <c r="E7" s="360" t="s">
        <v>64</v>
      </c>
      <c r="F7" s="362" t="s">
        <v>25</v>
      </c>
      <c r="G7" s="363" t="s">
        <v>65</v>
      </c>
      <c r="H7" s="364" t="s">
        <v>66</v>
      </c>
      <c r="I7" s="365" t="s">
        <v>26</v>
      </c>
      <c r="J7" s="412" t="s">
        <v>67</v>
      </c>
    </row>
    <row r="8" spans="1:16" ht="8.25" hidden="1" customHeight="1">
      <c r="A8"/>
      <c r="B8" s="366" t="s">
        <v>12</v>
      </c>
      <c r="C8" s="366"/>
      <c r="D8" s="366"/>
      <c r="E8" s="367"/>
      <c r="F8" s="368"/>
      <c r="G8" s="367"/>
      <c r="H8" s="367"/>
      <c r="I8" s="369"/>
      <c r="J8"/>
    </row>
    <row r="9" spans="1:16" ht="21.75" customHeight="1">
      <c r="A9"/>
      <c r="B9" s="370" t="s">
        <v>28</v>
      </c>
      <c r="C9" s="371">
        <f t="shared" ref="C9:H9" si="0">+C11+C34</f>
        <v>198000000</v>
      </c>
      <c r="D9" s="561">
        <f t="shared" si="0"/>
        <v>-30833366</v>
      </c>
      <c r="E9" s="372">
        <f t="shared" si="0"/>
        <v>167166634</v>
      </c>
      <c r="F9" s="372">
        <f t="shared" si="0"/>
        <v>154134011</v>
      </c>
      <c r="G9" s="372">
        <f t="shared" si="0"/>
        <v>8913325.1899999995</v>
      </c>
      <c r="H9" s="372">
        <f t="shared" si="0"/>
        <v>96465526.230000004</v>
      </c>
      <c r="I9" s="338">
        <f>+H9-F9</f>
        <v>-57668484.769999996</v>
      </c>
      <c r="J9" s="413">
        <f>+H9/F9*100</f>
        <v>62.58549012261804</v>
      </c>
      <c r="K9" s="553">
        <f>87552201.04+11061105</f>
        <v>98613306.040000007</v>
      </c>
      <c r="M9" s="414">
        <f>+H11+H34</f>
        <v>96465526.230000004</v>
      </c>
      <c r="O9" s="357" t="s">
        <v>12</v>
      </c>
    </row>
    <row r="10" spans="1:16" ht="9.9499999999999993" customHeight="1">
      <c r="A10"/>
      <c r="B10" s="370"/>
      <c r="C10" s="371"/>
      <c r="D10" s="561"/>
      <c r="E10" s="373"/>
      <c r="F10" s="373"/>
      <c r="G10" s="373"/>
      <c r="H10" s="373"/>
      <c r="I10" s="374"/>
      <c r="J10" s="415"/>
      <c r="K10" s="216"/>
      <c r="M10" s="416"/>
      <c r="O10" s="357" t="s">
        <v>12</v>
      </c>
    </row>
    <row r="11" spans="1:16" ht="21" customHeight="1">
      <c r="A11" s="375" t="s">
        <v>68</v>
      </c>
      <c r="B11" s="376" t="s">
        <v>29</v>
      </c>
      <c r="C11" s="377">
        <f t="shared" ref="C11:H11" si="1">+C13</f>
        <v>141094806</v>
      </c>
      <c r="D11" s="562">
        <f>+D13</f>
        <v>-637113</v>
      </c>
      <c r="E11" s="373">
        <f t="shared" si="1"/>
        <v>140457693</v>
      </c>
      <c r="F11" s="373">
        <f t="shared" si="1"/>
        <v>127336912</v>
      </c>
      <c r="G11" s="373">
        <f t="shared" si="1"/>
        <v>8913325.1899999995</v>
      </c>
      <c r="H11" s="373">
        <f t="shared" si="1"/>
        <v>83158853.230000004</v>
      </c>
      <c r="I11" s="338">
        <f t="shared" ref="I11:I45" si="2">+H11-F11</f>
        <v>-44178058.769999996</v>
      </c>
      <c r="J11" s="413">
        <f>+H11/F11*100</f>
        <v>65.306164507900121</v>
      </c>
      <c r="K11" s="553">
        <v>74245528.039999992</v>
      </c>
      <c r="M11" s="414"/>
      <c r="N11" s="416"/>
    </row>
    <row r="12" spans="1:16" ht="9.9499999999999993" customHeight="1">
      <c r="A12"/>
      <c r="B12" s="378"/>
      <c r="C12" s="379"/>
      <c r="D12" s="563"/>
      <c r="E12" s="380"/>
      <c r="F12" s="380" t="s">
        <v>12</v>
      </c>
      <c r="G12" s="380"/>
      <c r="H12" s="380"/>
      <c r="I12" s="381"/>
      <c r="J12" s="417" t="s">
        <v>12</v>
      </c>
      <c r="K12" s="216"/>
      <c r="N12" s="416"/>
      <c r="P12" s="357" t="s">
        <v>12</v>
      </c>
    </row>
    <row r="13" spans="1:16" ht="21" customHeight="1">
      <c r="A13" s="375" t="s">
        <v>69</v>
      </c>
      <c r="B13" s="370" t="s">
        <v>70</v>
      </c>
      <c r="C13" s="371">
        <f>+C15+C21+C26+C31</f>
        <v>141094806</v>
      </c>
      <c r="D13" s="561">
        <f>+D26</f>
        <v>-637113</v>
      </c>
      <c r="E13" s="373">
        <f>+E15+E21+E26+E31</f>
        <v>140457693</v>
      </c>
      <c r="F13" s="373">
        <f>+F15+F21+F26+F31</f>
        <v>127336912</v>
      </c>
      <c r="G13" s="373">
        <f>+G15+G21+G26+G31</f>
        <v>8913325.1899999995</v>
      </c>
      <c r="H13" s="373">
        <f>+H15+H21+H26+H31</f>
        <v>83158853.230000004</v>
      </c>
      <c r="I13" s="338">
        <f t="shared" si="2"/>
        <v>-44178058.769999996</v>
      </c>
      <c r="J13" s="413">
        <f>+H13/F13*100</f>
        <v>65.306164507900121</v>
      </c>
      <c r="K13" s="553">
        <v>74245528.039999992</v>
      </c>
      <c r="L13" s="418"/>
      <c r="M13" s="416">
        <f>64249.83+5930775.7</f>
        <v>5995025.5300000003</v>
      </c>
      <c r="N13" s="416"/>
    </row>
    <row r="14" spans="1:16" ht="9.9499999999999993" customHeight="1">
      <c r="A14" s="375"/>
      <c r="B14" s="382"/>
      <c r="C14" s="383"/>
      <c r="D14" s="383"/>
      <c r="E14" s="380"/>
      <c r="F14" s="380"/>
      <c r="G14" s="380"/>
      <c r="H14" s="380" t="s">
        <v>12</v>
      </c>
      <c r="I14" s="381" t="s">
        <v>12</v>
      </c>
      <c r="J14" s="417" t="s">
        <v>12</v>
      </c>
      <c r="K14" s="216" t="s">
        <v>12</v>
      </c>
      <c r="L14" s="418"/>
      <c r="N14" s="416"/>
    </row>
    <row r="15" spans="1:16" ht="21" customHeight="1">
      <c r="A15" s="375" t="s">
        <v>71</v>
      </c>
      <c r="B15" s="370" t="s">
        <v>72</v>
      </c>
      <c r="C15" s="371">
        <f>+C17</f>
        <v>5476492</v>
      </c>
      <c r="D15" s="371"/>
      <c r="E15" s="373">
        <f>SUM(E18:E19)</f>
        <v>5476492</v>
      </c>
      <c r="F15" s="373">
        <f>F17</f>
        <v>5099722</v>
      </c>
      <c r="G15" s="373">
        <f>SUM(G18:G19)</f>
        <v>143857.59</v>
      </c>
      <c r="H15" s="373">
        <f>H17</f>
        <v>1644407.7000000002</v>
      </c>
      <c r="I15" s="338">
        <f t="shared" si="2"/>
        <v>-3455314.3</v>
      </c>
      <c r="J15" s="413">
        <f>+H15/F15*100</f>
        <v>32.245045906423925</v>
      </c>
      <c r="K15" s="216">
        <v>1500550.11</v>
      </c>
      <c r="L15" s="418"/>
      <c r="N15" s="416"/>
    </row>
    <row r="16" spans="1:16" ht="11.45" customHeight="1">
      <c r="A16" s="375"/>
      <c r="B16" s="370"/>
      <c r="C16" s="371"/>
      <c r="D16" s="371"/>
      <c r="E16" s="380"/>
      <c r="F16" s="373"/>
      <c r="G16" s="373"/>
      <c r="H16" s="373"/>
      <c r="I16" s="374"/>
      <c r="J16" s="413"/>
      <c r="K16" s="216"/>
      <c r="L16" s="418"/>
    </row>
    <row r="17" spans="1:15" ht="19.149999999999999" customHeight="1">
      <c r="A17" s="375" t="s">
        <v>73</v>
      </c>
      <c r="B17" s="384" t="s">
        <v>74</v>
      </c>
      <c r="C17" s="385">
        <f>+C18+C19</f>
        <v>5476492</v>
      </c>
      <c r="D17" s="385"/>
      <c r="E17" s="373">
        <f>+E18+E19</f>
        <v>5476492</v>
      </c>
      <c r="F17" s="373">
        <f>SUM(F18:F19)</f>
        <v>5099722</v>
      </c>
      <c r="G17" s="373">
        <f>SUM(G18:G19)</f>
        <v>143857.59</v>
      </c>
      <c r="H17" s="565">
        <f>K17+G17</f>
        <v>1644407.7000000002</v>
      </c>
      <c r="I17" s="338">
        <f t="shared" si="2"/>
        <v>-3455314.3</v>
      </c>
      <c r="J17" s="417">
        <f>+H17/F17*100</f>
        <v>32.245045906423925</v>
      </c>
      <c r="K17" s="553">
        <v>1500550.11</v>
      </c>
      <c r="L17" s="357" t="s">
        <v>12</v>
      </c>
    </row>
    <row r="18" spans="1:15" ht="24.95" customHeight="1">
      <c r="A18" s="386" t="s">
        <v>75</v>
      </c>
      <c r="B18" s="382" t="s">
        <v>76</v>
      </c>
      <c r="C18" s="383">
        <v>700000</v>
      </c>
      <c r="D18" s="383"/>
      <c r="E18" s="380">
        <v>700000</v>
      </c>
      <c r="F18" s="387">
        <f>58333+58333+58333+58333+58333+58333+58333+58333+58333+58333+58333</f>
        <v>641663</v>
      </c>
      <c r="G18" s="566">
        <v>4409.05</v>
      </c>
      <c r="H18" s="566">
        <f>G18+K18</f>
        <v>398451.84</v>
      </c>
      <c r="I18" s="340">
        <f t="shared" si="2"/>
        <v>-243211.15999999997</v>
      </c>
      <c r="J18" s="417">
        <f>+H18/F18*100</f>
        <v>62.0967454878963</v>
      </c>
      <c r="K18" s="216">
        <v>394042.79000000004</v>
      </c>
      <c r="L18" s="357">
        <f>107526631*100/154134011</f>
        <v>69.76178087002485</v>
      </c>
      <c r="N18" s="416"/>
    </row>
    <row r="19" spans="1:15" ht="24.95" customHeight="1">
      <c r="A19" s="386" t="s">
        <v>77</v>
      </c>
      <c r="B19" s="382" t="s">
        <v>78</v>
      </c>
      <c r="C19" s="383">
        <v>4776492</v>
      </c>
      <c r="D19" s="383"/>
      <c r="E19" s="380">
        <v>4776492</v>
      </c>
      <c r="F19" s="387">
        <f>318433+318433+318433+477649+477649+477649+477649+477649+477649+318433+318433</f>
        <v>4458059</v>
      </c>
      <c r="G19" s="566">
        <v>139448.54</v>
      </c>
      <c r="H19" s="566">
        <f>K19+G19</f>
        <v>1245955.8600000001</v>
      </c>
      <c r="I19" s="340">
        <f t="shared" si="2"/>
        <v>-3212103.1399999997</v>
      </c>
      <c r="J19" s="417">
        <f>+H19/F19*100</f>
        <v>27.948393235710878</v>
      </c>
      <c r="K19" s="216">
        <v>1106507.32</v>
      </c>
    </row>
    <row r="20" spans="1:15" ht="9.9499999999999993" customHeight="1">
      <c r="A20" s="375"/>
      <c r="B20" s="382" t="s">
        <v>12</v>
      </c>
      <c r="C20" s="383"/>
      <c r="D20" s="383"/>
      <c r="E20" s="380" t="s">
        <v>12</v>
      </c>
      <c r="F20" s="387"/>
      <c r="G20" s="380"/>
      <c r="H20" s="380"/>
      <c r="I20" s="381"/>
      <c r="J20" s="417" t="s">
        <v>12</v>
      </c>
      <c r="K20" s="216"/>
      <c r="N20" s="414">
        <f>+H11+H34</f>
        <v>96465526.230000004</v>
      </c>
    </row>
    <row r="21" spans="1:15" ht="24.95" customHeight="1">
      <c r="A21" s="375" t="s">
        <v>79</v>
      </c>
      <c r="B21" s="370" t="s">
        <v>80</v>
      </c>
      <c r="C21" s="371">
        <f>+C23</f>
        <v>127866634</v>
      </c>
      <c r="D21" s="371"/>
      <c r="E21" s="373">
        <f>SUM(E23:E23)</f>
        <v>127866634</v>
      </c>
      <c r="F21" s="388">
        <f>SUM(F23)</f>
        <v>115647359</v>
      </c>
      <c r="G21" s="373">
        <f>G23</f>
        <v>8431358</v>
      </c>
      <c r="H21" s="565">
        <f>+G21+K21:K22</f>
        <v>73829209</v>
      </c>
      <c r="I21" s="338">
        <f>+H21-F21</f>
        <v>-41818150</v>
      </c>
      <c r="J21" s="413">
        <f>+H21/F21*100</f>
        <v>63.839943807104149</v>
      </c>
      <c r="K21" s="553">
        <f>73829209-8431358</f>
        <v>65397851</v>
      </c>
      <c r="N21" s="416"/>
    </row>
    <row r="22" spans="1:15" ht="5.25" customHeight="1">
      <c r="A22" s="375"/>
      <c r="B22" s="382"/>
      <c r="C22" s="383"/>
      <c r="D22" s="383"/>
      <c r="E22" s="380"/>
      <c r="F22" s="387"/>
      <c r="G22" s="380"/>
      <c r="H22" s="389">
        <f>G22</f>
        <v>0</v>
      </c>
      <c r="I22" s="381">
        <f t="shared" si="2"/>
        <v>0</v>
      </c>
      <c r="J22" s="417" t="s">
        <v>12</v>
      </c>
      <c r="K22" s="216">
        <v>0</v>
      </c>
    </row>
    <row r="23" spans="1:15" ht="24.75" customHeight="1">
      <c r="A23" s="375" t="s">
        <v>81</v>
      </c>
      <c r="B23" s="370" t="s">
        <v>82</v>
      </c>
      <c r="C23" s="371">
        <f>+C25</f>
        <v>127866634</v>
      </c>
      <c r="D23" s="371"/>
      <c r="E23" s="373">
        <f>+E25</f>
        <v>127866634</v>
      </c>
      <c r="F23" s="388">
        <f>F25</f>
        <v>115647359</v>
      </c>
      <c r="G23" s="373">
        <f>G25</f>
        <v>8431358</v>
      </c>
      <c r="H23" s="565">
        <f>H25</f>
        <v>73829209</v>
      </c>
      <c r="I23" s="338">
        <f t="shared" si="2"/>
        <v>-41818150</v>
      </c>
      <c r="J23" s="413">
        <f>+H23/F23*100</f>
        <v>63.839943807104149</v>
      </c>
      <c r="K23" s="553">
        <v>65397851</v>
      </c>
    </row>
    <row r="24" spans="1:15" ht="10.15" customHeight="1">
      <c r="A24" s="375"/>
      <c r="B24" s="382"/>
      <c r="C24" s="383"/>
      <c r="D24" s="383"/>
      <c r="E24" s="380"/>
      <c r="F24" s="387"/>
      <c r="G24" s="380"/>
      <c r="H24" s="554">
        <f>G24</f>
        <v>0</v>
      </c>
      <c r="I24" s="381">
        <f t="shared" si="2"/>
        <v>0</v>
      </c>
      <c r="J24" s="417" t="s">
        <v>12</v>
      </c>
      <c r="K24" s="216">
        <v>0</v>
      </c>
    </row>
    <row r="25" spans="1:15" ht="22.15" customHeight="1">
      <c r="A25" s="386" t="s">
        <v>83</v>
      </c>
      <c r="B25" s="382" t="s">
        <v>84</v>
      </c>
      <c r="C25" s="383">
        <v>127866634</v>
      </c>
      <c r="D25" s="383"/>
      <c r="E25" s="380">
        <f>127866634</f>
        <v>127866634</v>
      </c>
      <c r="F25" s="387">
        <f>13488927+12100174+10105532+9486893+9401862+9558545+9687276+12602772+9733196+9738691+9743491</f>
        <v>115647359</v>
      </c>
      <c r="G25" s="380">
        <v>8431358</v>
      </c>
      <c r="H25" s="389">
        <f>K25+G25</f>
        <v>73829209</v>
      </c>
      <c r="I25" s="340">
        <f>H25-F25</f>
        <v>-41818150</v>
      </c>
      <c r="J25" s="417">
        <f>+H25/F25*100</f>
        <v>63.839943807104149</v>
      </c>
      <c r="K25" s="553">
        <v>65397851</v>
      </c>
      <c r="L25" s="416"/>
      <c r="O25" s="414"/>
    </row>
    <row r="26" spans="1:15" ht="24.95" customHeight="1">
      <c r="A26" s="375" t="s">
        <v>85</v>
      </c>
      <c r="B26" s="370" t="s">
        <v>30</v>
      </c>
      <c r="C26" s="371">
        <f>+C27+C28+C29</f>
        <v>5251680</v>
      </c>
      <c r="D26" s="561">
        <f>+D28</f>
        <v>-637113</v>
      </c>
      <c r="E26" s="373">
        <f>SUM(E27:E29)</f>
        <v>4614567</v>
      </c>
      <c r="F26" s="388">
        <f>SUM(F27:F29)</f>
        <v>4256497</v>
      </c>
      <c r="G26" s="373">
        <f>G27+G28+G29</f>
        <v>213762.52</v>
      </c>
      <c r="H26" s="373">
        <f>K26+G26</f>
        <v>6831856.879999999</v>
      </c>
      <c r="I26" s="374">
        <f t="shared" si="2"/>
        <v>2575359.879999999</v>
      </c>
      <c r="J26" s="413">
        <f>+H26/F26*100</f>
        <v>160.50420991721595</v>
      </c>
      <c r="K26" s="553">
        <v>6618094.3599999994</v>
      </c>
    </row>
    <row r="27" spans="1:15" ht="24.95" customHeight="1">
      <c r="A27" s="386" t="s">
        <v>86</v>
      </c>
      <c r="B27" s="382" t="s">
        <v>87</v>
      </c>
      <c r="C27" s="383">
        <v>410082</v>
      </c>
      <c r="D27" s="383"/>
      <c r="E27" s="380">
        <v>410082</v>
      </c>
      <c r="F27" s="387">
        <f>34173+34173+34173+34173+34173+34173+34173+34173+34173+34173+34173</f>
        <v>375903</v>
      </c>
      <c r="G27" s="387">
        <v>61278.47</v>
      </c>
      <c r="H27" s="387">
        <f>G27+K27</f>
        <v>773798.58</v>
      </c>
      <c r="I27" s="381">
        <f t="shared" si="2"/>
        <v>397895.57999999996</v>
      </c>
      <c r="J27" s="417">
        <f>+H27/F27*100</f>
        <v>205.85059975578807</v>
      </c>
      <c r="K27" s="216">
        <v>712520.11</v>
      </c>
    </row>
    <row r="28" spans="1:15" ht="24.95" customHeight="1">
      <c r="A28" s="386" t="s">
        <v>88</v>
      </c>
      <c r="B28" s="382" t="s">
        <v>89</v>
      </c>
      <c r="C28" s="383">
        <v>4774884</v>
      </c>
      <c r="D28" s="564">
        <f>+E28-C28</f>
        <v>-637113</v>
      </c>
      <c r="E28" s="380">
        <f>4774884-637113</f>
        <v>4137771</v>
      </c>
      <c r="F28" s="387">
        <f>318326+318326+318326+477488+477488+477488+477488+477488-637113+477488+318326+318326</f>
        <v>3819445</v>
      </c>
      <c r="G28" s="387">
        <f>151486.3+732.75</f>
        <v>152219.04999999999</v>
      </c>
      <c r="H28" s="387">
        <f>K28+G28</f>
        <v>5995025.5300000003</v>
      </c>
      <c r="I28" s="381">
        <f t="shared" si="2"/>
        <v>2175580.5300000003</v>
      </c>
      <c r="J28" s="417">
        <f>+H28/F28*100</f>
        <v>156.96064559117883</v>
      </c>
      <c r="K28" s="216">
        <v>5842806.4800000004</v>
      </c>
      <c r="M28" s="416"/>
    </row>
    <row r="29" spans="1:15" ht="24.95" customHeight="1">
      <c r="A29" s="386" t="s">
        <v>90</v>
      </c>
      <c r="B29" s="382" t="s">
        <v>91</v>
      </c>
      <c r="C29" s="383">
        <v>66714</v>
      </c>
      <c r="D29" s="383"/>
      <c r="E29" s="380">
        <v>66714</v>
      </c>
      <c r="F29" s="387">
        <f>11118+5559+5559+5559+5559+5559+5559+5559+5559+5559</f>
        <v>61149</v>
      </c>
      <c r="G29" s="387">
        <v>265</v>
      </c>
      <c r="H29" s="387">
        <f>K29+G29</f>
        <v>63032.77</v>
      </c>
      <c r="I29" s="381">
        <f t="shared" si="2"/>
        <v>1883.7699999999968</v>
      </c>
      <c r="J29" s="417">
        <f>+H29/F29*100</f>
        <v>103.0806227411732</v>
      </c>
      <c r="K29" s="216">
        <v>62767.77</v>
      </c>
    </row>
    <row r="30" spans="1:15" ht="9.9499999999999993" customHeight="1">
      <c r="A30" s="375" t="s">
        <v>12</v>
      </c>
      <c r="B30" s="382"/>
      <c r="C30" s="383"/>
      <c r="D30" s="383"/>
      <c r="E30" s="380"/>
      <c r="F30" s="387"/>
      <c r="G30" s="380"/>
      <c r="H30" s="380">
        <f>G30</f>
        <v>0</v>
      </c>
      <c r="I30" s="381">
        <f t="shared" si="2"/>
        <v>0</v>
      </c>
      <c r="J30" s="417" t="s">
        <v>12</v>
      </c>
      <c r="K30" s="216">
        <v>0</v>
      </c>
    </row>
    <row r="31" spans="1:15" ht="24.95" customHeight="1">
      <c r="A31" s="375" t="s">
        <v>92</v>
      </c>
      <c r="B31" s="370" t="s">
        <v>31</v>
      </c>
      <c r="C31" s="371">
        <f>+C32</f>
        <v>2500000</v>
      </c>
      <c r="D31" s="371"/>
      <c r="E31" s="373">
        <f>SUM(E32)</f>
        <v>2500000</v>
      </c>
      <c r="F31" s="388">
        <f>SUM(F32)</f>
        <v>2333334</v>
      </c>
      <c r="G31" s="373">
        <f>G32</f>
        <v>124347.08</v>
      </c>
      <c r="H31" s="373">
        <f>K31+G31</f>
        <v>853379.65</v>
      </c>
      <c r="I31" s="338">
        <f t="shared" si="2"/>
        <v>-1479954.35</v>
      </c>
      <c r="J31" s="413">
        <f>+H31/F31*100</f>
        <v>36.573403121884823</v>
      </c>
      <c r="K31" s="553">
        <v>729032.57000000007</v>
      </c>
    </row>
    <row r="32" spans="1:15" ht="24.95" customHeight="1">
      <c r="A32" s="375" t="s">
        <v>93</v>
      </c>
      <c r="B32" s="382" t="s">
        <v>94</v>
      </c>
      <c r="C32" s="383">
        <v>2500000</v>
      </c>
      <c r="D32" s="383"/>
      <c r="E32" s="380">
        <v>2500000</v>
      </c>
      <c r="F32" s="387">
        <f>166667+166667+166667+250000+250000+250000+250000+250000+250000+166667+166666</f>
        <v>2333334</v>
      </c>
      <c r="G32" s="387">
        <v>124347.08</v>
      </c>
      <c r="H32" s="387">
        <f>K32+G32</f>
        <v>853379.65</v>
      </c>
      <c r="I32" s="340">
        <f t="shared" si="2"/>
        <v>-1479954.35</v>
      </c>
      <c r="J32" s="417">
        <f>+H32/F32*100</f>
        <v>36.573403121884823</v>
      </c>
      <c r="K32" s="216">
        <v>729032.57000000007</v>
      </c>
    </row>
    <row r="33" spans="1:13" ht="9.9499999999999993" customHeight="1">
      <c r="A33" s="375"/>
      <c r="B33" s="382"/>
      <c r="C33" s="383"/>
      <c r="D33" s="383"/>
      <c r="E33" s="380"/>
      <c r="F33" s="380"/>
      <c r="G33" s="380"/>
      <c r="H33" s="380">
        <f>G33</f>
        <v>0</v>
      </c>
      <c r="I33" s="390"/>
      <c r="J33" s="417"/>
      <c r="K33" s="216">
        <v>0</v>
      </c>
    </row>
    <row r="34" spans="1:13" ht="24.95" customHeight="1">
      <c r="A34" s="375" t="s">
        <v>95</v>
      </c>
      <c r="B34" s="370" t="s">
        <v>32</v>
      </c>
      <c r="C34" s="371">
        <f>+C36+C40</f>
        <v>56905194</v>
      </c>
      <c r="D34" s="561">
        <f>+D36</f>
        <v>-30196253</v>
      </c>
      <c r="E34" s="373">
        <f>+E40+E36</f>
        <v>26708941</v>
      </c>
      <c r="F34" s="373">
        <f>+F40+F36</f>
        <v>26797099</v>
      </c>
      <c r="G34" s="373">
        <f>+G40+G36</f>
        <v>0</v>
      </c>
      <c r="H34" s="373">
        <f>H36+H40</f>
        <v>13306673</v>
      </c>
      <c r="I34" s="338">
        <f>H34-F34</f>
        <v>-13490426</v>
      </c>
      <c r="J34" s="413">
        <f>+H34/F34*100</f>
        <v>49.657140125503886</v>
      </c>
      <c r="K34" s="553">
        <v>13306673</v>
      </c>
    </row>
    <row r="35" spans="1:13" ht="9.9499999999999993" customHeight="1">
      <c r="A35" s="375"/>
      <c r="B35" s="382"/>
      <c r="C35" s="383"/>
      <c r="D35" s="561"/>
      <c r="E35" s="380"/>
      <c r="F35" s="380"/>
      <c r="G35" s="380"/>
      <c r="H35" s="380"/>
      <c r="I35" s="390"/>
      <c r="J35" s="417"/>
      <c r="K35" s="216"/>
    </row>
    <row r="36" spans="1:13" ht="18" customHeight="1">
      <c r="A36" s="375" t="s">
        <v>96</v>
      </c>
      <c r="B36" s="370" t="s">
        <v>97</v>
      </c>
      <c r="C36" s="371">
        <f t="shared" ref="C36:D38" si="3">+C37</f>
        <v>54805194</v>
      </c>
      <c r="D36" s="561">
        <f t="shared" si="3"/>
        <v>-30196253</v>
      </c>
      <c r="E36" s="373">
        <f>E37</f>
        <v>24608941</v>
      </c>
      <c r="F36" s="373">
        <f t="shared" ref="F36:F38" si="4">F37</f>
        <v>24697099</v>
      </c>
      <c r="G36" s="373">
        <f t="shared" ref="G36:H38" si="5">G37</f>
        <v>0</v>
      </c>
      <c r="H36" s="373">
        <f t="shared" si="5"/>
        <v>11206673</v>
      </c>
      <c r="I36" s="338">
        <f>I37</f>
        <v>-13490426</v>
      </c>
      <c r="J36" s="413">
        <f>J37</f>
        <v>45.376475188442171</v>
      </c>
      <c r="K36" s="553">
        <v>11206673</v>
      </c>
    </row>
    <row r="37" spans="1:13" ht="18" customHeight="1">
      <c r="A37" s="386" t="s">
        <v>98</v>
      </c>
      <c r="B37" s="382" t="s">
        <v>99</v>
      </c>
      <c r="C37" s="383">
        <f t="shared" si="3"/>
        <v>54805194</v>
      </c>
      <c r="D37" s="564">
        <f t="shared" si="3"/>
        <v>-30196253</v>
      </c>
      <c r="E37" s="380">
        <f>E38</f>
        <v>24608941</v>
      </c>
      <c r="F37" s="380">
        <f t="shared" si="4"/>
        <v>24697099</v>
      </c>
      <c r="G37" s="380">
        <f>+G38</f>
        <v>0</v>
      </c>
      <c r="H37" s="380">
        <f t="shared" si="5"/>
        <v>11206673</v>
      </c>
      <c r="I37" s="340">
        <f>I38</f>
        <v>-13490426</v>
      </c>
      <c r="J37" s="417">
        <f>H37/F37*100</f>
        <v>45.376475188442171</v>
      </c>
      <c r="K37" s="216">
        <v>11206673</v>
      </c>
    </row>
    <row r="38" spans="1:13" ht="18" customHeight="1">
      <c r="A38" s="386" t="s">
        <v>100</v>
      </c>
      <c r="B38" s="382" t="s">
        <v>101</v>
      </c>
      <c r="C38" s="383">
        <f t="shared" si="3"/>
        <v>54805194</v>
      </c>
      <c r="D38" s="564">
        <f t="shared" si="3"/>
        <v>-30196253</v>
      </c>
      <c r="E38" s="380">
        <f>E39</f>
        <v>24608941</v>
      </c>
      <c r="F38" s="380">
        <f t="shared" si="4"/>
        <v>24697099</v>
      </c>
      <c r="G38" s="380">
        <f>+G39</f>
        <v>0</v>
      </c>
      <c r="H38" s="380">
        <f t="shared" si="5"/>
        <v>11206673</v>
      </c>
      <c r="I38" s="340">
        <f>I39</f>
        <v>-13490426</v>
      </c>
      <c r="J38" s="417">
        <f>H38/F38*100</f>
        <v>45.376475188442171</v>
      </c>
      <c r="K38" s="216">
        <v>11206673</v>
      </c>
    </row>
    <row r="39" spans="1:13" ht="18" customHeight="1">
      <c r="A39" s="386" t="s">
        <v>102</v>
      </c>
      <c r="B39" s="382" t="s">
        <v>103</v>
      </c>
      <c r="C39" s="383">
        <v>54805194</v>
      </c>
      <c r="D39" s="564">
        <f>+E39-C39</f>
        <v>-30196253</v>
      </c>
      <c r="E39" s="380">
        <v>24608941</v>
      </c>
      <c r="F39" s="380">
        <f>24608941+88158</f>
        <v>24697099</v>
      </c>
      <c r="G39" s="380">
        <v>0</v>
      </c>
      <c r="H39" s="380">
        <f>K39+G39</f>
        <v>11206673</v>
      </c>
      <c r="I39" s="340">
        <f>H39-F39</f>
        <v>-13490426</v>
      </c>
      <c r="J39" s="417">
        <f>H39/F39*100</f>
        <v>45.376475188442171</v>
      </c>
      <c r="K39" s="216">
        <v>11206673</v>
      </c>
    </row>
    <row r="40" spans="1:13" ht="24.95" customHeight="1">
      <c r="A40" s="375" t="s">
        <v>104</v>
      </c>
      <c r="B40" s="370" t="s">
        <v>105</v>
      </c>
      <c r="C40" s="371">
        <f>+C41</f>
        <v>2100000</v>
      </c>
      <c r="D40" s="371"/>
      <c r="E40" s="373">
        <f>SUM(E41)</f>
        <v>2100000</v>
      </c>
      <c r="F40" s="373">
        <f t="shared" ref="F40:F42" si="6">F41</f>
        <v>2100000</v>
      </c>
      <c r="G40" s="373">
        <f>G41</f>
        <v>0</v>
      </c>
      <c r="H40" s="373">
        <f>H41</f>
        <v>2100000</v>
      </c>
      <c r="I40" s="391">
        <f t="shared" si="2"/>
        <v>0</v>
      </c>
      <c r="J40" s="413">
        <f>+H40/F40*100</f>
        <v>100</v>
      </c>
      <c r="K40" s="553">
        <v>2100000</v>
      </c>
    </row>
    <row r="41" spans="1:13" ht="24.95" customHeight="1">
      <c r="A41" s="386" t="s">
        <v>106</v>
      </c>
      <c r="B41" s="382" t="s">
        <v>107</v>
      </c>
      <c r="C41" s="383">
        <f>+C42</f>
        <v>2100000</v>
      </c>
      <c r="D41" s="383"/>
      <c r="E41" s="380">
        <f>+E42</f>
        <v>2100000</v>
      </c>
      <c r="F41" s="380">
        <f>+F42</f>
        <v>2100000</v>
      </c>
      <c r="G41" s="380">
        <f>+G42</f>
        <v>0</v>
      </c>
      <c r="H41" s="380">
        <f>+H42</f>
        <v>2100000</v>
      </c>
      <c r="I41" s="390">
        <f t="shared" si="2"/>
        <v>0</v>
      </c>
      <c r="J41" s="417">
        <f>+H41/F41*100</f>
        <v>100</v>
      </c>
      <c r="K41" s="216">
        <v>2100000</v>
      </c>
    </row>
    <row r="42" spans="1:13" ht="17.45" customHeight="1">
      <c r="A42" s="386" t="s">
        <v>108</v>
      </c>
      <c r="B42" s="382" t="s">
        <v>109</v>
      </c>
      <c r="C42" s="383">
        <f>+C43</f>
        <v>2100000</v>
      </c>
      <c r="D42" s="383"/>
      <c r="E42" s="380">
        <f>E43</f>
        <v>2100000</v>
      </c>
      <c r="F42" s="380">
        <f t="shared" si="6"/>
        <v>2100000</v>
      </c>
      <c r="G42" s="380">
        <f>+G43</f>
        <v>0</v>
      </c>
      <c r="H42" s="380">
        <f>H43</f>
        <v>2100000</v>
      </c>
      <c r="I42" s="390">
        <f t="shared" si="2"/>
        <v>0</v>
      </c>
      <c r="J42" s="417">
        <f>H42/F42*100</f>
        <v>100</v>
      </c>
      <c r="K42" s="216">
        <v>2100000</v>
      </c>
      <c r="M42" s="414"/>
    </row>
    <row r="43" spans="1:13" ht="17.45" customHeight="1">
      <c r="A43" s="386" t="s">
        <v>110</v>
      </c>
      <c r="B43" s="382" t="s">
        <v>111</v>
      </c>
      <c r="C43" s="383">
        <v>2100000</v>
      </c>
      <c r="D43" s="383"/>
      <c r="E43" s="380">
        <v>2100000</v>
      </c>
      <c r="F43" s="380">
        <f>1680000+420000</f>
        <v>2100000</v>
      </c>
      <c r="G43" s="380">
        <v>0</v>
      </c>
      <c r="H43" s="380">
        <f>K43+G43</f>
        <v>2100000</v>
      </c>
      <c r="I43" s="390">
        <f t="shared" si="2"/>
        <v>0</v>
      </c>
      <c r="J43" s="417">
        <f>H43/F43*100</f>
        <v>100</v>
      </c>
      <c r="K43" s="216">
        <v>2100000</v>
      </c>
    </row>
    <row r="44" spans="1:13" ht="16.899999999999999" customHeight="1">
      <c r="A44" s="392"/>
      <c r="B44" s="393"/>
      <c r="C44" s="394"/>
      <c r="D44" s="560"/>
      <c r="E44" s="394"/>
      <c r="F44" s="394"/>
      <c r="G44" s="394"/>
      <c r="H44" s="394"/>
      <c r="I44" s="395"/>
      <c r="J44" s="419"/>
      <c r="K44" s="216"/>
    </row>
    <row r="45" spans="1:13" ht="24.6" hidden="1" customHeight="1">
      <c r="A45" s="396"/>
      <c r="B45" s="267" t="s">
        <v>112</v>
      </c>
      <c r="C45" s="267"/>
      <c r="D45" s="267"/>
      <c r="E45" s="373">
        <f>SUM(E47)</f>
        <v>5210534</v>
      </c>
      <c r="F45" s="373">
        <f>SUM(F47)</f>
        <v>4639377</v>
      </c>
      <c r="G45" s="373">
        <f>SUM(G47:G47)</f>
        <v>1797741</v>
      </c>
      <c r="H45" s="373" t="e">
        <f>#REF!+G45</f>
        <v>#REF!</v>
      </c>
      <c r="I45" s="397" t="e">
        <f t="shared" si="2"/>
        <v>#REF!</v>
      </c>
      <c r="J45" s="295" t="e">
        <f>+H45/F45*100</f>
        <v>#REF!</v>
      </c>
      <c r="K45" s="358">
        <v>4639377</v>
      </c>
    </row>
    <row r="46" spans="1:13" ht="9.6" hidden="1" customHeight="1">
      <c r="A46" s="396"/>
      <c r="B46" s="274"/>
      <c r="C46" s="274"/>
      <c r="D46" s="274"/>
      <c r="E46" s="380"/>
      <c r="F46" s="380"/>
      <c r="G46" s="380"/>
      <c r="H46" s="389">
        <f>G46</f>
        <v>0</v>
      </c>
      <c r="I46" s="398" t="s">
        <v>12</v>
      </c>
      <c r="J46" s="297" t="s">
        <v>12</v>
      </c>
      <c r="K46" s="358">
        <v>0</v>
      </c>
    </row>
    <row r="47" spans="1:13" ht="24.6" hidden="1" customHeight="1">
      <c r="A47" s="396"/>
      <c r="B47" s="274" t="s">
        <v>113</v>
      </c>
      <c r="C47" s="274"/>
      <c r="D47" s="274"/>
      <c r="E47" s="380">
        <v>5210534</v>
      </c>
      <c r="F47" s="380">
        <v>4639377</v>
      </c>
      <c r="G47" s="399">
        <f>1779848+17893</f>
        <v>1797741</v>
      </c>
      <c r="H47" s="389" t="e">
        <f>G47+#REF!</f>
        <v>#REF!</v>
      </c>
      <c r="I47" s="398" t="e">
        <f>+H47-F47</f>
        <v>#REF!</v>
      </c>
      <c r="J47" s="297" t="e">
        <f>+H47/F47*100</f>
        <v>#REF!</v>
      </c>
      <c r="K47" s="358">
        <v>4639377</v>
      </c>
    </row>
    <row r="48" spans="1:13" ht="7.15" hidden="1" customHeight="1">
      <c r="A48" s="5"/>
      <c r="B48" s="400"/>
      <c r="C48" s="400"/>
      <c r="D48" s="400"/>
      <c r="E48" s="401"/>
      <c r="F48" s="394" t="s">
        <v>12</v>
      </c>
      <c r="G48" s="402" t="s">
        <v>12</v>
      </c>
      <c r="H48" s="394" t="s">
        <v>12</v>
      </c>
      <c r="I48" s="394" t="s">
        <v>12</v>
      </c>
      <c r="J48" s="420"/>
      <c r="K48" s="358" t="s">
        <v>12</v>
      </c>
    </row>
    <row r="49" spans="1:10" ht="9" customHeight="1">
      <c r="A49"/>
      <c r="B49" s="403" t="s">
        <v>12</v>
      </c>
      <c r="C49" s="404"/>
      <c r="D49" s="404"/>
      <c r="E49" s="404"/>
      <c r="F49" s="405"/>
      <c r="G49" s="405"/>
      <c r="H49" s="405"/>
      <c r="I49" s="406"/>
      <c r="J49" s="404"/>
    </row>
    <row r="50" spans="1:10">
      <c r="A50" s="672" t="s">
        <v>23</v>
      </c>
      <c r="B50" s="672"/>
      <c r="C50" s="51"/>
      <c r="D50" s="51"/>
      <c r="E50" s="1"/>
      <c r="F50" s="1"/>
      <c r="G50" s="1"/>
      <c r="H50" s="1"/>
      <c r="I50" s="407"/>
      <c r="J50"/>
    </row>
    <row r="51" spans="1:10" ht="15.75">
      <c r="B51" s="408" t="s">
        <v>12</v>
      </c>
      <c r="C51" s="408"/>
      <c r="D51" s="408"/>
      <c r="E51" s="10"/>
      <c r="F51" s="290"/>
      <c r="G51" s="290"/>
      <c r="H51" s="290"/>
      <c r="I51" s="290"/>
      <c r="J51" s="418"/>
    </row>
    <row r="52" spans="1:10" ht="15.75">
      <c r="B52" s="409" t="s">
        <v>12</v>
      </c>
      <c r="C52" s="409"/>
      <c r="D52" s="409"/>
      <c r="E52" s="410" t="s">
        <v>12</v>
      </c>
      <c r="F52" s="290"/>
      <c r="G52" s="290"/>
      <c r="H52" s="290"/>
      <c r="I52" s="290"/>
      <c r="J52" s="418"/>
    </row>
    <row r="53" spans="1:10" ht="15.75">
      <c r="B53" s="409" t="s">
        <v>12</v>
      </c>
      <c r="C53" s="409"/>
      <c r="D53" s="409"/>
      <c r="E53" s="65"/>
      <c r="F53" s="290"/>
      <c r="G53" s="290"/>
      <c r="H53" s="290"/>
      <c r="I53" s="290"/>
      <c r="J53" s="418"/>
    </row>
    <row r="54" spans="1:10" ht="15.75">
      <c r="B54" s="408" t="s">
        <v>12</v>
      </c>
      <c r="C54" s="408"/>
      <c r="D54" s="408"/>
      <c r="E54" s="290"/>
      <c r="F54" s="290"/>
      <c r="G54" s="290"/>
      <c r="H54" s="290"/>
      <c r="I54" s="290"/>
      <c r="J54" s="418"/>
    </row>
    <row r="55" spans="1:10" ht="15.75">
      <c r="B55" s="408" t="s">
        <v>12</v>
      </c>
      <c r="C55" s="408"/>
      <c r="D55" s="408"/>
      <c r="E55" s="290"/>
      <c r="F55" s="290"/>
      <c r="G55" s="290"/>
      <c r="H55" s="290"/>
      <c r="I55" s="290"/>
      <c r="J55" s="418"/>
    </row>
    <row r="56" spans="1:10" ht="15.75">
      <c r="B56" s="408" t="s">
        <v>12</v>
      </c>
      <c r="C56" s="408"/>
      <c r="D56" s="408"/>
      <c r="E56" s="290"/>
      <c r="F56" s="290"/>
      <c r="G56" s="290"/>
      <c r="H56" s="290"/>
      <c r="I56" s="290"/>
      <c r="J56" s="418"/>
    </row>
    <row r="57" spans="1:10" ht="15.75">
      <c r="B57" s="408" t="s">
        <v>12</v>
      </c>
      <c r="C57" s="408"/>
      <c r="D57" s="408"/>
      <c r="E57" s="290"/>
      <c r="F57" s="290"/>
      <c r="G57" s="290"/>
      <c r="H57" s="290"/>
      <c r="I57" s="290"/>
      <c r="J57" s="418"/>
    </row>
    <row r="58" spans="1:10">
      <c r="E58" s="242"/>
      <c r="F58" s="242"/>
      <c r="G58" s="242"/>
      <c r="H58" s="242"/>
      <c r="I58" s="242"/>
      <c r="J58" s="418"/>
    </row>
    <row r="127" spans="6:6">
      <c r="F127" s="4" t="s">
        <v>12</v>
      </c>
    </row>
  </sheetData>
  <mergeCells count="10">
    <mergeCell ref="A50:B50"/>
    <mergeCell ref="A6:A7"/>
    <mergeCell ref="B6:B7"/>
    <mergeCell ref="B1:J1"/>
    <mergeCell ref="B2:J2"/>
    <mergeCell ref="B3:J3"/>
    <mergeCell ref="B4:J4"/>
    <mergeCell ref="C6:F6"/>
    <mergeCell ref="G6:H6"/>
    <mergeCell ref="I6:J6"/>
  </mergeCells>
  <pageMargins left="0.27559055118110237" right="0.11811023622047245" top="0.74803149606299213" bottom="0.98425196850393704" header="0.51181102362204722" footer="0.51181102362204722"/>
  <pageSetup paperSize="5" scale="75" firstPageNumber="0" orientation="portrait" useFirstPageNumber="1" r:id="rId1"/>
  <headerFooter alignWithMargins="0">
    <oddFooter>&amp;R&amp;"Arial,Negrita"</oddFooter>
  </headerFooter>
  <ignoredErrors>
    <ignoredError sqref="F15:G15 F21 F41 H39:H41 H30 H22:H23 H18 I25 H27 G37:G38 G42 D13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6" tint="-0.249977111117893"/>
    <pageSetUpPr fitToPage="1"/>
  </sheetPr>
  <dimension ref="A1:Y70"/>
  <sheetViews>
    <sheetView showGridLines="0" showZeros="0" workbookViewId="0">
      <selection sqref="A1:J33"/>
    </sheetView>
  </sheetViews>
  <sheetFormatPr baseColWidth="10" defaultColWidth="11.42578125" defaultRowHeight="12.75"/>
  <cols>
    <col min="1" max="1" width="40.28515625" customWidth="1"/>
    <col min="2" max="2" width="17.42578125" customWidth="1"/>
    <col min="3" max="3" width="13.7109375" customWidth="1"/>
    <col min="4" max="4" width="12.5703125" hidden="1" customWidth="1"/>
    <col min="5" max="5" width="12.85546875" customWidth="1"/>
    <col min="6" max="6" width="12.28515625" customWidth="1"/>
    <col min="7" max="7" width="11.28515625" customWidth="1"/>
    <col min="8" max="8" width="12.5703125" customWidth="1"/>
    <col min="9" max="9" width="15" customWidth="1"/>
    <col min="10" max="10" width="9.7109375" customWidth="1"/>
    <col min="11" max="11" width="18.42578125" customWidth="1"/>
    <col min="12" max="12" width="12" customWidth="1"/>
    <col min="13" max="13" width="24.28515625" customWidth="1"/>
    <col min="15" max="17" width="11.42578125" hidden="1" customWidth="1"/>
    <col min="18" max="18" width="22.42578125" customWidth="1"/>
    <col min="20" max="20" width="1.42578125" customWidth="1"/>
    <col min="21" max="21" width="3.140625" customWidth="1"/>
    <col min="22" max="22" width="0.42578125" customWidth="1"/>
    <col min="23" max="23" width="1.5703125" customWidth="1"/>
    <col min="24" max="24" width="0.42578125" customWidth="1"/>
  </cols>
  <sheetData>
    <row r="1" spans="1:25" ht="15.75">
      <c r="A1" s="677" t="s">
        <v>59</v>
      </c>
      <c r="B1" s="677"/>
      <c r="C1" s="677"/>
      <c r="D1" s="677"/>
      <c r="E1" s="677"/>
      <c r="F1" s="677"/>
      <c r="G1" s="677"/>
      <c r="H1" s="677"/>
      <c r="I1" s="677"/>
      <c r="J1" s="677"/>
    </row>
    <row r="2" spans="1:25" ht="15.75">
      <c r="A2" s="677" t="s">
        <v>60</v>
      </c>
      <c r="B2" s="677"/>
      <c r="C2" s="677"/>
      <c r="D2" s="677"/>
      <c r="E2" s="677"/>
      <c r="F2" s="677"/>
      <c r="G2" s="677"/>
      <c r="H2" s="677"/>
      <c r="I2" s="677"/>
      <c r="J2" s="677"/>
    </row>
    <row r="3" spans="1:25" ht="15">
      <c r="A3" s="686" t="s">
        <v>114</v>
      </c>
      <c r="B3" s="687"/>
      <c r="C3" s="687"/>
      <c r="D3" s="687"/>
      <c r="E3" s="687"/>
      <c r="F3" s="687"/>
      <c r="G3" s="687"/>
      <c r="H3" s="687"/>
      <c r="I3" s="687"/>
      <c r="J3" s="688"/>
    </row>
    <row r="4" spans="1:25" ht="15">
      <c r="A4" s="686" t="s">
        <v>538</v>
      </c>
      <c r="B4" s="687"/>
      <c r="C4" s="687"/>
      <c r="D4" s="687"/>
      <c r="E4" s="687"/>
      <c r="F4" s="687"/>
      <c r="G4" s="687"/>
      <c r="H4" s="687"/>
      <c r="I4" s="687"/>
      <c r="J4" s="688"/>
    </row>
    <row r="5" spans="1:25" ht="14.25">
      <c r="A5" s="301"/>
      <c r="B5" s="302"/>
      <c r="C5" s="302"/>
      <c r="D5" s="302"/>
      <c r="E5" s="302"/>
      <c r="F5" s="302"/>
      <c r="G5" s="302"/>
      <c r="H5" s="302"/>
      <c r="I5" s="302"/>
    </row>
    <row r="6" spans="1:25" ht="21" customHeight="1">
      <c r="A6" s="694" t="s">
        <v>0</v>
      </c>
      <c r="B6" s="696" t="s">
        <v>115</v>
      </c>
      <c r="C6" s="689" t="s">
        <v>50</v>
      </c>
      <c r="D6" s="690"/>
      <c r="E6" s="690"/>
      <c r="F6" s="691"/>
      <c r="G6" s="692" t="s">
        <v>116</v>
      </c>
      <c r="H6" s="692"/>
      <c r="I6" s="692" t="s">
        <v>24</v>
      </c>
      <c r="J6" s="693"/>
    </row>
    <row r="7" spans="1:25" ht="33" customHeight="1">
      <c r="A7" s="695"/>
      <c r="B7" s="697"/>
      <c r="C7" s="303" t="s">
        <v>2</v>
      </c>
      <c r="D7" s="303" t="s">
        <v>529</v>
      </c>
      <c r="E7" s="303" t="s">
        <v>3</v>
      </c>
      <c r="F7" s="304" t="s">
        <v>25</v>
      </c>
      <c r="G7" s="304" t="s">
        <v>65</v>
      </c>
      <c r="H7" s="304" t="s">
        <v>117</v>
      </c>
      <c r="I7" s="304" t="s">
        <v>118</v>
      </c>
      <c r="J7" s="335" t="s">
        <v>27</v>
      </c>
      <c r="L7" s="336"/>
    </row>
    <row r="8" spans="1:25" ht="20.100000000000001" customHeight="1">
      <c r="A8" s="305"/>
      <c r="B8" s="306"/>
      <c r="C8" s="307"/>
      <c r="D8" s="307"/>
      <c r="E8" s="308"/>
      <c r="F8" s="309"/>
      <c r="G8" s="309"/>
      <c r="H8" s="309"/>
      <c r="I8" s="309"/>
      <c r="J8" s="337"/>
      <c r="K8" s="9"/>
    </row>
    <row r="9" spans="1:25" ht="20.100000000000001" customHeight="1">
      <c r="A9" s="310" t="s">
        <v>33</v>
      </c>
      <c r="B9" s="311"/>
      <c r="C9" s="312">
        <f>+C11+C22</f>
        <v>198000000</v>
      </c>
      <c r="D9" s="568">
        <f>+D11+D22</f>
        <v>-30833366</v>
      </c>
      <c r="E9" s="312">
        <f t="shared" ref="E9:G9" si="0">+E11+E22</f>
        <v>167166634</v>
      </c>
      <c r="F9" s="312">
        <f t="shared" si="0"/>
        <v>154134011</v>
      </c>
      <c r="G9" s="312">
        <f t="shared" si="0"/>
        <v>8913325.1899999995</v>
      </c>
      <c r="H9" s="312">
        <f>+H11+H22</f>
        <v>96465526.230000004</v>
      </c>
      <c r="I9" s="338">
        <f>+H9-F9</f>
        <v>-57668484.769999996</v>
      </c>
      <c r="J9" s="350">
        <f>+H9/F9*100</f>
        <v>62.58549012261804</v>
      </c>
      <c r="K9" s="240"/>
      <c r="L9" s="1" t="s">
        <v>12</v>
      </c>
      <c r="M9" s="1"/>
    </row>
    <row r="10" spans="1:25" ht="20.100000000000001" customHeight="1">
      <c r="A10" s="310"/>
      <c r="B10" s="311"/>
      <c r="C10" s="312"/>
      <c r="D10" s="312"/>
      <c r="E10" s="312"/>
      <c r="F10" s="312"/>
      <c r="G10" s="312"/>
      <c r="H10" s="312" t="s">
        <v>12</v>
      </c>
      <c r="I10" s="312"/>
      <c r="J10" s="350"/>
      <c r="K10" s="240"/>
      <c r="R10" s="1" t="s">
        <v>12</v>
      </c>
    </row>
    <row r="11" spans="1:25" ht="20.100000000000001" customHeight="1">
      <c r="A11" s="310" t="s">
        <v>34</v>
      </c>
      <c r="B11" s="311"/>
      <c r="C11" s="312">
        <f t="shared" ref="C11:G11" si="1">SUM(C13:C20)</f>
        <v>15328172</v>
      </c>
      <c r="D11" s="568">
        <f>+D15</f>
        <v>-637113</v>
      </c>
      <c r="E11" s="312">
        <f t="shared" si="1"/>
        <v>14691059</v>
      </c>
      <c r="F11" s="312">
        <f t="shared" si="1"/>
        <v>13789553</v>
      </c>
      <c r="G11" s="312">
        <f t="shared" si="1"/>
        <v>481967.19</v>
      </c>
      <c r="H11" s="312">
        <f>SUM(H13:H20)</f>
        <v>11429644.23</v>
      </c>
      <c r="I11" s="312">
        <f>F11-H11</f>
        <v>2359908.7699999996</v>
      </c>
      <c r="J11" s="350">
        <f>+H11/F11*100</f>
        <v>82.886256211495763</v>
      </c>
      <c r="K11" s="240"/>
      <c r="L11" s="1"/>
    </row>
    <row r="12" spans="1:25" ht="20.100000000000001" customHeight="1">
      <c r="A12" s="313"/>
      <c r="B12" s="314"/>
      <c r="C12" s="315"/>
      <c r="D12" s="315"/>
      <c r="E12" s="315"/>
      <c r="F12" s="315" t="s">
        <v>12</v>
      </c>
      <c r="G12" s="315"/>
      <c r="H12" s="315"/>
      <c r="I12" s="315"/>
      <c r="J12" s="348"/>
      <c r="K12" s="339"/>
    </row>
    <row r="13" spans="1:25" ht="20.100000000000001" customHeight="1">
      <c r="A13" s="316" t="s">
        <v>119</v>
      </c>
      <c r="B13" s="317" t="s">
        <v>120</v>
      </c>
      <c r="C13" s="318">
        <f>+'RECAUDACION ING'!C18</f>
        <v>700000</v>
      </c>
      <c r="D13" s="318"/>
      <c r="E13" s="318">
        <f>+'RECAUDACION ING'!E18</f>
        <v>700000</v>
      </c>
      <c r="F13" s="318">
        <f>+'RECAUDACION ING'!F18</f>
        <v>641663</v>
      </c>
      <c r="G13" s="318">
        <f>+'RECAUDACION ING'!G18</f>
        <v>4409.05</v>
      </c>
      <c r="H13" s="318">
        <f>+'RECAUDACION ING'!H18</f>
        <v>398451.84</v>
      </c>
      <c r="I13" s="340">
        <f>+H13-F13</f>
        <v>-243211.15999999997</v>
      </c>
      <c r="J13" s="557">
        <f t="shared" ref="J13:J18" si="2">+H13/F13*100</f>
        <v>62.0967454878963</v>
      </c>
      <c r="K13" s="341"/>
      <c r="L13" s="1"/>
      <c r="M13" s="342"/>
      <c r="N13" s="1"/>
      <c r="R13" s="9"/>
      <c r="S13" s="353"/>
      <c r="T13" s="353"/>
      <c r="U13" s="354"/>
      <c r="V13" s="354"/>
      <c r="W13" s="354"/>
      <c r="X13" s="354"/>
      <c r="Y13" s="354"/>
    </row>
    <row r="14" spans="1:25" ht="20.100000000000001" customHeight="1">
      <c r="A14" s="316" t="s">
        <v>35</v>
      </c>
      <c r="B14" s="317" t="s">
        <v>121</v>
      </c>
      <c r="C14" s="318">
        <f>+'RECAUDACION ING'!C19</f>
        <v>4776492</v>
      </c>
      <c r="D14" s="318"/>
      <c r="E14" s="318">
        <f>+'RECAUDACION ING'!E19</f>
        <v>4776492</v>
      </c>
      <c r="F14" s="318">
        <f>+'RECAUDACION ING'!F19</f>
        <v>4458059</v>
      </c>
      <c r="G14" s="318">
        <f>+'RECAUDACION ING'!G19</f>
        <v>139448.54</v>
      </c>
      <c r="H14" s="318">
        <f>+'RECAUDACION ING'!H19</f>
        <v>1245955.8600000001</v>
      </c>
      <c r="I14" s="340">
        <f t="shared" ref="I14:I20" si="3">+H14-F14</f>
        <v>-3212103.1399999997</v>
      </c>
      <c r="J14" s="557">
        <f t="shared" si="2"/>
        <v>27.948393235710878</v>
      </c>
      <c r="K14" s="341"/>
      <c r="L14" s="1"/>
      <c r="M14" s="342"/>
      <c r="S14" s="353"/>
      <c r="T14" s="353"/>
      <c r="U14" s="354"/>
      <c r="V14" s="354"/>
      <c r="W14" s="354"/>
      <c r="X14" s="354"/>
      <c r="Y14" s="354"/>
    </row>
    <row r="15" spans="1:25" ht="20.100000000000001" customHeight="1">
      <c r="A15" s="319" t="s">
        <v>36</v>
      </c>
      <c r="B15" s="317" t="s">
        <v>122</v>
      </c>
      <c r="C15" s="318">
        <f>+'RECAUDACION ING'!C28</f>
        <v>4774884</v>
      </c>
      <c r="D15" s="567">
        <f>+E15-C15</f>
        <v>-637113</v>
      </c>
      <c r="E15" s="318">
        <f>+'RECAUDACION ING'!E28</f>
        <v>4137771</v>
      </c>
      <c r="F15" s="318">
        <f>+'RECAUDACION ING'!F28</f>
        <v>3819445</v>
      </c>
      <c r="G15" s="318">
        <f>+'RECAUDACION ING'!G28</f>
        <v>152219.04999999999</v>
      </c>
      <c r="H15" s="318">
        <f>+'RECAUDACION ING'!H28</f>
        <v>5995025.5300000003</v>
      </c>
      <c r="I15" s="343">
        <f t="shared" si="3"/>
        <v>2175580.5300000003</v>
      </c>
      <c r="J15" s="557">
        <f t="shared" si="2"/>
        <v>156.96064559117883</v>
      </c>
      <c r="K15" s="341"/>
      <c r="L15" s="1"/>
      <c r="M15" s="342"/>
      <c r="S15" s="353"/>
      <c r="T15" s="353"/>
      <c r="U15" s="354"/>
      <c r="V15" s="354"/>
      <c r="W15" s="354"/>
      <c r="X15" s="354"/>
      <c r="Y15" s="354"/>
    </row>
    <row r="16" spans="1:25" ht="20.100000000000001" customHeight="1">
      <c r="A16" s="319" t="s">
        <v>37</v>
      </c>
      <c r="B16" s="317" t="s">
        <v>123</v>
      </c>
      <c r="C16" s="318">
        <f>+'RECAUDACION ING'!C29</f>
        <v>66714</v>
      </c>
      <c r="D16" s="318"/>
      <c r="E16" s="318">
        <f>+'RECAUDACION ING'!E29</f>
        <v>66714</v>
      </c>
      <c r="F16" s="318">
        <f>+'RECAUDACION ING'!F29</f>
        <v>61149</v>
      </c>
      <c r="G16" s="318">
        <f>+'RECAUDACION ING'!G29</f>
        <v>265</v>
      </c>
      <c r="H16" s="318">
        <f>+'RECAUDACION ING'!H29</f>
        <v>63032.77</v>
      </c>
      <c r="I16" s="343">
        <f t="shared" si="3"/>
        <v>1883.7699999999968</v>
      </c>
      <c r="J16" s="557">
        <f t="shared" si="2"/>
        <v>103.0806227411732</v>
      </c>
      <c r="K16" s="341"/>
      <c r="L16" s="1"/>
      <c r="M16" s="342"/>
      <c r="S16" s="353"/>
      <c r="T16" s="353"/>
      <c r="U16" s="354"/>
      <c r="V16" s="354"/>
      <c r="W16" s="354"/>
      <c r="X16" s="354"/>
      <c r="Y16" s="354"/>
    </row>
    <row r="17" spans="1:25" ht="20.100000000000001" customHeight="1">
      <c r="A17" s="319" t="s">
        <v>38</v>
      </c>
      <c r="B17" s="317" t="s">
        <v>124</v>
      </c>
      <c r="C17" s="318">
        <f>+'RECAUDACION ING'!C27</f>
        <v>410082</v>
      </c>
      <c r="D17" s="318"/>
      <c r="E17" s="318">
        <f>+'RECAUDACION ING'!E27</f>
        <v>410082</v>
      </c>
      <c r="F17" s="318">
        <f>+'RECAUDACION ING'!F27</f>
        <v>375903</v>
      </c>
      <c r="G17" s="318">
        <f>+'RECAUDACION ING'!G27</f>
        <v>61278.47</v>
      </c>
      <c r="H17" s="318">
        <f>+'RECAUDACION ING'!H27</f>
        <v>773798.58</v>
      </c>
      <c r="I17" s="343">
        <f t="shared" si="3"/>
        <v>397895.57999999996</v>
      </c>
      <c r="J17" s="557">
        <f t="shared" si="2"/>
        <v>205.85059975578807</v>
      </c>
      <c r="K17" s="341"/>
      <c r="L17" s="1"/>
      <c r="M17" s="342"/>
      <c r="S17" s="353"/>
      <c r="T17" s="353"/>
      <c r="U17" s="354"/>
      <c r="V17" s="354"/>
      <c r="W17" s="354"/>
      <c r="X17" s="354"/>
      <c r="Y17" s="354"/>
    </row>
    <row r="18" spans="1:25" ht="20.100000000000001" customHeight="1">
      <c r="A18" s="319" t="s">
        <v>39</v>
      </c>
      <c r="B18" s="317" t="s">
        <v>125</v>
      </c>
      <c r="C18" s="318">
        <f>+'RECAUDACION ING'!C32</f>
        <v>2500000</v>
      </c>
      <c r="D18" s="318"/>
      <c r="E18" s="318">
        <f>+'RECAUDACION ING'!E32</f>
        <v>2500000</v>
      </c>
      <c r="F18" s="318">
        <f>+'RECAUDACION ING'!F32</f>
        <v>2333334</v>
      </c>
      <c r="G18" s="318">
        <f>+'RECAUDACION ING'!G32</f>
        <v>124347.08</v>
      </c>
      <c r="H18" s="318">
        <f>+'RECAUDACION ING'!H32</f>
        <v>853379.65</v>
      </c>
      <c r="I18" s="340">
        <f t="shared" si="3"/>
        <v>-1479954.35</v>
      </c>
      <c r="J18" s="557">
        <f t="shared" si="2"/>
        <v>36.573403121884823</v>
      </c>
      <c r="K18" s="341"/>
      <c r="L18" s="1"/>
      <c r="M18" s="342"/>
      <c r="N18" s="1"/>
      <c r="S18" s="353"/>
      <c r="T18" s="353"/>
      <c r="U18" s="354"/>
      <c r="V18" s="354"/>
      <c r="W18" s="354"/>
      <c r="X18" s="354"/>
      <c r="Y18" s="354"/>
    </row>
    <row r="19" spans="1:25" ht="20.100000000000001" customHeight="1">
      <c r="A19" s="319" t="s">
        <v>126</v>
      </c>
      <c r="B19" s="317" t="s">
        <v>127</v>
      </c>
      <c r="C19" s="318"/>
      <c r="D19" s="318"/>
      <c r="E19" s="318"/>
      <c r="F19" s="318"/>
      <c r="G19" s="318">
        <f>+'RECAUDACION ING'!G24</f>
        <v>0</v>
      </c>
      <c r="H19" s="318">
        <f>+'RECAUDACION ING'!H33</f>
        <v>0</v>
      </c>
      <c r="I19" s="318" t="s">
        <v>12</v>
      </c>
      <c r="J19" s="557">
        <v>0</v>
      </c>
      <c r="K19" s="341"/>
      <c r="L19" s="1"/>
      <c r="M19" s="342"/>
      <c r="S19" s="353"/>
      <c r="T19" s="353"/>
      <c r="U19" s="354"/>
      <c r="V19" s="354"/>
      <c r="W19" s="354"/>
      <c r="X19" s="354"/>
      <c r="Y19" s="354"/>
    </row>
    <row r="20" spans="1:25" ht="20.100000000000001" customHeight="1">
      <c r="A20" s="319" t="s">
        <v>40</v>
      </c>
      <c r="B20" s="317" t="s">
        <v>128</v>
      </c>
      <c r="C20" s="318">
        <f>+'RECAUDACION ING'!C43</f>
        <v>2100000</v>
      </c>
      <c r="D20" s="318"/>
      <c r="E20" s="318">
        <f>+'RECAUDACION ING'!E43</f>
        <v>2100000</v>
      </c>
      <c r="F20" s="318">
        <f>+'RECAUDACION ING'!F43</f>
        <v>2100000</v>
      </c>
      <c r="G20" s="318">
        <f>+'RECAUDACION ING'!G40</f>
        <v>0</v>
      </c>
      <c r="H20" s="318">
        <f>+'RECAUDACION ING'!H43</f>
        <v>2100000</v>
      </c>
      <c r="I20" s="318">
        <f t="shared" si="3"/>
        <v>0</v>
      </c>
      <c r="J20" s="557">
        <f>+H20/F20*100</f>
        <v>100</v>
      </c>
      <c r="K20" s="341"/>
      <c r="L20" s="1"/>
      <c r="M20" s="342"/>
      <c r="S20" s="353"/>
      <c r="T20" s="353"/>
      <c r="U20" s="354"/>
      <c r="V20" s="354"/>
      <c r="W20" s="354"/>
      <c r="X20" s="354"/>
      <c r="Y20" s="354"/>
    </row>
    <row r="21" spans="1:25" ht="20.100000000000001" customHeight="1">
      <c r="A21" s="316"/>
      <c r="B21" s="320"/>
      <c r="C21" s="321"/>
      <c r="D21" s="321"/>
      <c r="E21" s="315"/>
      <c r="F21" s="315" t="s">
        <v>12</v>
      </c>
      <c r="G21" s="315" t="s">
        <v>12</v>
      </c>
      <c r="H21" s="315" t="str">
        <f>G21</f>
        <v xml:space="preserve"> </v>
      </c>
      <c r="I21" s="344"/>
      <c r="J21" s="348"/>
      <c r="K21" s="339"/>
      <c r="L21" s="1"/>
      <c r="M21" s="342"/>
      <c r="S21" s="353"/>
      <c r="T21" s="353"/>
      <c r="U21" s="354"/>
      <c r="V21" s="354"/>
      <c r="W21" s="354"/>
      <c r="X21" s="354"/>
      <c r="Y21" s="354"/>
    </row>
    <row r="22" spans="1:25" ht="20.100000000000001" customHeight="1">
      <c r="A22" s="310" t="s">
        <v>22</v>
      </c>
      <c r="B22" s="322"/>
      <c r="C22" s="323">
        <f>+C24+C30</f>
        <v>182671828</v>
      </c>
      <c r="D22" s="568">
        <f>+D30</f>
        <v>-30196253</v>
      </c>
      <c r="E22" s="312">
        <f>+E24+E30</f>
        <v>152475575</v>
      </c>
      <c r="F22" s="312">
        <f>F24+F30</f>
        <v>140344458</v>
      </c>
      <c r="G22" s="312">
        <f>+G24+G30</f>
        <v>8431358</v>
      </c>
      <c r="H22" s="312">
        <f>+H24+H30</f>
        <v>85035882</v>
      </c>
      <c r="I22" s="338">
        <f>H22-F22</f>
        <v>-55308576</v>
      </c>
      <c r="J22" s="350">
        <f>+H22/F22*100</f>
        <v>60.590837152971154</v>
      </c>
      <c r="K22" s="345">
        <f>76604524+11061105</f>
        <v>87665629</v>
      </c>
      <c r="L22" s="537" t="s">
        <v>12</v>
      </c>
      <c r="M22" s="342"/>
      <c r="S22" s="355"/>
      <c r="T22" s="355"/>
      <c r="U22" s="354"/>
      <c r="V22" s="354"/>
      <c r="W22" s="354"/>
      <c r="X22" s="354"/>
      <c r="Y22" s="354"/>
    </row>
    <row r="23" spans="1:25" ht="20.100000000000001" customHeight="1">
      <c r="A23" s="310" t="s">
        <v>12</v>
      </c>
      <c r="B23" s="322"/>
      <c r="C23" s="324"/>
      <c r="D23" s="324"/>
      <c r="E23" s="312"/>
      <c r="F23" s="312"/>
      <c r="G23" s="312"/>
      <c r="H23" s="312">
        <f>G23</f>
        <v>0</v>
      </c>
      <c r="I23" s="323"/>
      <c r="J23" s="350"/>
      <c r="K23" s="345">
        <v>0</v>
      </c>
      <c r="L23" s="1"/>
      <c r="M23" s="342"/>
      <c r="R23" s="1"/>
      <c r="S23" s="353"/>
      <c r="T23" s="353"/>
      <c r="U23" s="354"/>
      <c r="V23" s="354"/>
      <c r="W23" s="354"/>
      <c r="X23" s="354"/>
      <c r="Y23" s="354"/>
    </row>
    <row r="24" spans="1:25" ht="33" customHeight="1">
      <c r="A24" s="325" t="s">
        <v>46</v>
      </c>
      <c r="B24" s="322" t="s">
        <v>129</v>
      </c>
      <c r="C24" s="312">
        <f>SUM(C26:C28)</f>
        <v>127866634</v>
      </c>
      <c r="D24" s="312"/>
      <c r="E24" s="312">
        <f>SUM(E26:E28)</f>
        <v>127866634</v>
      </c>
      <c r="F24" s="312">
        <f>+F26+F27+F28</f>
        <v>115647359</v>
      </c>
      <c r="G24" s="312">
        <f>SUM(G26:G28)</f>
        <v>8431358</v>
      </c>
      <c r="H24" s="312">
        <f>+G24+K24</f>
        <v>73829209</v>
      </c>
      <c r="I24" s="338">
        <f>+H24-F24</f>
        <v>-41818150</v>
      </c>
      <c r="J24" s="350">
        <f>+H24/F24*100</f>
        <v>63.839943807104149</v>
      </c>
      <c r="K24" s="345">
        <f>73829209-8431358</f>
        <v>65397851</v>
      </c>
      <c r="L24" s="1"/>
      <c r="M24" s="342"/>
      <c r="S24" s="355"/>
      <c r="T24" s="355"/>
      <c r="U24" s="354"/>
      <c r="V24" s="354"/>
      <c r="W24" s="354"/>
      <c r="X24" s="354"/>
      <c r="Y24" s="354"/>
    </row>
    <row r="25" spans="1:25" ht="17.45" customHeight="1">
      <c r="A25" s="325"/>
      <c r="B25" s="322"/>
      <c r="C25" s="324"/>
      <c r="D25" s="324"/>
      <c r="E25" s="312"/>
      <c r="F25" s="312"/>
      <c r="G25" s="312"/>
      <c r="H25" s="312"/>
      <c r="I25" s="323"/>
      <c r="J25" s="350"/>
      <c r="K25" s="345"/>
      <c r="L25" s="1"/>
      <c r="M25" s="342"/>
      <c r="S25" s="355"/>
      <c r="T25" s="355"/>
      <c r="U25" s="354"/>
      <c r="V25" s="354"/>
      <c r="W25" s="354"/>
      <c r="X25" s="354"/>
      <c r="Y25" s="354"/>
    </row>
    <row r="26" spans="1:25" ht="20.100000000000001" customHeight="1">
      <c r="A26" s="319" t="s">
        <v>130</v>
      </c>
      <c r="B26" s="320"/>
      <c r="C26" s="318">
        <v>111927700</v>
      </c>
      <c r="D26" s="318"/>
      <c r="E26" s="318">
        <f>111927700</f>
        <v>111927700</v>
      </c>
      <c r="F26" s="318">
        <f>11423210+10840726+8812441+8234748+8150721+8313259+8431358+11349349+8479440+8484642+8489262</f>
        <v>101009156</v>
      </c>
      <c r="G26" s="318">
        <v>8431358</v>
      </c>
      <c r="H26" s="318">
        <f>K26+G26</f>
        <v>64206463</v>
      </c>
      <c r="I26" s="340">
        <f>+H26-F26</f>
        <v>-36802693</v>
      </c>
      <c r="J26" s="557">
        <f>+H26/F26*100</f>
        <v>63.564993058649058</v>
      </c>
      <c r="K26" s="346">
        <f>64206463-8431358</f>
        <v>55775105</v>
      </c>
      <c r="L26" s="380"/>
      <c r="M26" s="342"/>
      <c r="S26" s="353"/>
      <c r="T26" s="353"/>
      <c r="U26" s="354"/>
      <c r="V26" s="354"/>
      <c r="W26" s="354"/>
      <c r="X26" s="354"/>
      <c r="Y26" s="354"/>
    </row>
    <row r="27" spans="1:25" ht="20.100000000000001" customHeight="1">
      <c r="A27" s="319" t="s">
        <v>131</v>
      </c>
      <c r="B27" s="317" t="s">
        <v>12</v>
      </c>
      <c r="C27" s="318">
        <v>109200</v>
      </c>
      <c r="D27" s="318"/>
      <c r="E27" s="318">
        <v>109200</v>
      </c>
      <c r="F27" s="318">
        <f>10200+9900+9900+9900+9900+9900+9900+9900+9900+9900+9900</f>
        <v>109200</v>
      </c>
      <c r="G27" s="318">
        <v>0</v>
      </c>
      <c r="H27" s="318">
        <f>K27+G27</f>
        <v>69600</v>
      </c>
      <c r="I27" s="343"/>
      <c r="J27" s="557">
        <f>+H27/F27*100</f>
        <v>63.73626373626373</v>
      </c>
      <c r="K27" s="346">
        <v>69600</v>
      </c>
      <c r="L27" s="1"/>
      <c r="M27" s="342"/>
      <c r="S27" s="353"/>
      <c r="T27" s="353"/>
      <c r="U27" s="354"/>
      <c r="V27" s="354"/>
      <c r="W27" s="354"/>
      <c r="X27" s="354"/>
      <c r="Y27" s="354"/>
    </row>
    <row r="28" spans="1:25" ht="20.100000000000001" customHeight="1">
      <c r="A28" s="319" t="s">
        <v>132</v>
      </c>
      <c r="B28" s="317"/>
      <c r="C28" s="318">
        <v>15829734</v>
      </c>
      <c r="D28" s="318"/>
      <c r="E28" s="318">
        <v>15829734</v>
      </c>
      <c r="F28" s="318">
        <f>2055517+1249548+1283191+1242245+1241241+1235386+1246018+1243523+1243856+1244149+1244329</f>
        <v>14529003</v>
      </c>
      <c r="G28" s="318">
        <v>0</v>
      </c>
      <c r="H28" s="318">
        <f>+G28+K28</f>
        <v>9553146</v>
      </c>
      <c r="I28" s="340">
        <f>+H28-F28</f>
        <v>-4975857</v>
      </c>
      <c r="J28" s="557">
        <f>+H28/F28*100</f>
        <v>65.752247418491137</v>
      </c>
      <c r="K28" s="347">
        <v>9553146</v>
      </c>
      <c r="L28" s="1"/>
      <c r="M28" s="342"/>
      <c r="S28" s="353"/>
      <c r="T28" s="353"/>
      <c r="U28" s="354"/>
      <c r="V28" s="354"/>
      <c r="W28" s="354"/>
      <c r="X28" s="354"/>
      <c r="Y28" s="354"/>
    </row>
    <row r="29" spans="1:25" ht="20.100000000000001" customHeight="1">
      <c r="A29" s="326" t="s">
        <v>12</v>
      </c>
      <c r="B29" s="320"/>
      <c r="C29" s="315" t="s">
        <v>12</v>
      </c>
      <c r="D29" s="315"/>
      <c r="E29" s="315" t="s">
        <v>12</v>
      </c>
      <c r="F29" s="327" t="s">
        <v>12</v>
      </c>
      <c r="G29" s="318" t="s">
        <v>12</v>
      </c>
      <c r="H29" s="315" t="s">
        <v>12</v>
      </c>
      <c r="I29" s="315"/>
      <c r="J29" s="348"/>
      <c r="K29" s="349" t="s">
        <v>12</v>
      </c>
      <c r="L29" s="1"/>
      <c r="M29" s="342"/>
      <c r="S29" s="353"/>
      <c r="T29" s="353"/>
      <c r="U29" s="354"/>
      <c r="V29" s="354"/>
      <c r="W29" s="354"/>
      <c r="X29" s="354"/>
      <c r="Y29" s="354"/>
    </row>
    <row r="30" spans="1:25" ht="23.25" customHeight="1">
      <c r="A30" s="325" t="s">
        <v>47</v>
      </c>
      <c r="B30" s="322" t="s">
        <v>133</v>
      </c>
      <c r="C30" s="312">
        <v>54805194</v>
      </c>
      <c r="D30" s="568">
        <f>+E30-C30</f>
        <v>-30196253</v>
      </c>
      <c r="E30" s="312">
        <v>24608941</v>
      </c>
      <c r="F30" s="312">
        <v>24697099</v>
      </c>
      <c r="G30" s="312">
        <v>0</v>
      </c>
      <c r="H30" s="312">
        <f>+G30+K30</f>
        <v>11206673</v>
      </c>
      <c r="I30" s="340">
        <f>+H30-F30</f>
        <v>-13490426</v>
      </c>
      <c r="J30" s="350">
        <f>+H30/F30*100</f>
        <v>45.376475188442171</v>
      </c>
      <c r="K30" s="351">
        <v>11206673</v>
      </c>
      <c r="L30" s="537" t="s">
        <v>12</v>
      </c>
      <c r="M30" s="342"/>
      <c r="S30" s="356"/>
      <c r="T30" s="356"/>
      <c r="U30" s="354"/>
      <c r="V30" s="354"/>
      <c r="W30" s="354"/>
      <c r="X30" s="354"/>
      <c r="Y30" s="354"/>
    </row>
    <row r="31" spans="1:25" ht="20.100000000000001" customHeight="1">
      <c r="A31" s="328" t="s">
        <v>12</v>
      </c>
      <c r="B31" s="329"/>
      <c r="C31" s="330"/>
      <c r="D31" s="330"/>
      <c r="E31" s="331"/>
      <c r="F31" s="331">
        <v>0</v>
      </c>
      <c r="G31" s="330" t="s">
        <v>12</v>
      </c>
      <c r="H31" s="331" t="s">
        <v>12</v>
      </c>
      <c r="I31" s="331"/>
      <c r="J31" s="352"/>
      <c r="K31" t="s">
        <v>12</v>
      </c>
    </row>
    <row r="32" spans="1:25" ht="10.5" customHeight="1">
      <c r="A32" s="332" t="s">
        <v>12</v>
      </c>
      <c r="B32" s="332"/>
      <c r="C32" s="333"/>
      <c r="D32" s="334"/>
      <c r="E32" s="332"/>
      <c r="F32" s="332"/>
      <c r="G32" s="332"/>
      <c r="H32" s="332"/>
      <c r="I32" s="332"/>
      <c r="J32" s="332"/>
    </row>
    <row r="33" spans="1:10" ht="15.75">
      <c r="A33" s="148" t="s">
        <v>41</v>
      </c>
      <c r="B33" s="148"/>
      <c r="C33" s="334"/>
      <c r="D33" s="334"/>
      <c r="E33" s="332"/>
      <c r="F33" s="332" t="s">
        <v>12</v>
      </c>
      <c r="G33" s="332"/>
      <c r="H33" s="332"/>
      <c r="I33" s="332"/>
      <c r="J33" s="332"/>
    </row>
    <row r="38" spans="1:10" ht="12" customHeight="1"/>
    <row r="69" spans="1:25">
      <c r="A69" t="s">
        <v>134</v>
      </c>
      <c r="Y69" t="s">
        <v>135</v>
      </c>
    </row>
    <row r="70" spans="1:25">
      <c r="Y70" t="s">
        <v>136</v>
      </c>
    </row>
  </sheetData>
  <mergeCells count="9">
    <mergeCell ref="A1:J1"/>
    <mergeCell ref="A2:J2"/>
    <mergeCell ref="A3:J3"/>
    <mergeCell ref="A4:J4"/>
    <mergeCell ref="C6:F6"/>
    <mergeCell ref="G6:H6"/>
    <mergeCell ref="I6:J6"/>
    <mergeCell ref="A6:A7"/>
    <mergeCell ref="B6:B7"/>
  </mergeCells>
  <pageMargins left="7.874015748031496E-2" right="0" top="0.39370078740157483" bottom="0.39370078740157483" header="0.51181102362204722" footer="0.51181102362204722"/>
  <pageSetup paperSize="5" scale="69" firstPageNumber="0" orientation="portrait" useFirstPageNumber="1" r:id="rId1"/>
  <headerFooter alignWithMargins="0"/>
  <ignoredErrors>
    <ignoredError sqref="F22:G22 H23 F24 D22 D11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Y56"/>
  <sheetViews>
    <sheetView showGridLines="0" showZeros="0" workbookViewId="0">
      <selection activeCell="A2" sqref="A2:I34"/>
    </sheetView>
  </sheetViews>
  <sheetFormatPr baseColWidth="10" defaultColWidth="11.42578125" defaultRowHeight="12.75"/>
  <cols>
    <col min="1" max="1" width="43.28515625" style="481" customWidth="1"/>
    <col min="2" max="2" width="12.28515625" style="481" customWidth="1"/>
    <col min="3" max="3" width="12.42578125" style="481" hidden="1" customWidth="1"/>
    <col min="4" max="4" width="13.85546875" style="481" customWidth="1"/>
    <col min="5" max="5" width="17.140625" style="481" hidden="1" customWidth="1"/>
    <col min="6" max="6" width="12" style="481" hidden="1" customWidth="1"/>
    <col min="7" max="7" width="12.7109375" style="481" customWidth="1"/>
    <col min="8" max="8" width="16.7109375" style="481" customWidth="1"/>
    <col min="9" max="9" width="13.42578125" style="505" customWidth="1"/>
    <col min="10" max="10" width="4" style="450" customWidth="1"/>
    <col min="11" max="16384" width="11.42578125" style="450"/>
  </cols>
  <sheetData>
    <row r="1" spans="1:25" ht="6.75" customHeight="1">
      <c r="A1" s="447"/>
      <c r="B1" s="447"/>
      <c r="C1" s="447"/>
      <c r="D1" s="447"/>
      <c r="E1" s="448"/>
      <c r="F1" s="448"/>
      <c r="G1" s="448"/>
      <c r="H1" s="448"/>
      <c r="I1" s="449"/>
    </row>
    <row r="2" spans="1:25" ht="15" customHeight="1">
      <c r="A2" s="699" t="s">
        <v>59</v>
      </c>
      <c r="B2" s="699"/>
      <c r="C2" s="699"/>
      <c r="D2" s="699"/>
      <c r="E2" s="699"/>
      <c r="F2" s="699"/>
      <c r="G2" s="699"/>
      <c r="H2" s="699"/>
      <c r="I2" s="699"/>
      <c r="J2" s="451"/>
      <c r="K2" s="451"/>
    </row>
    <row r="3" spans="1:25" ht="16.5" customHeight="1">
      <c r="A3" s="699" t="s">
        <v>60</v>
      </c>
      <c r="B3" s="699"/>
      <c r="C3" s="699"/>
      <c r="D3" s="699"/>
      <c r="E3" s="699"/>
      <c r="F3" s="699"/>
      <c r="G3" s="699"/>
      <c r="H3" s="699"/>
      <c r="I3" s="699"/>
      <c r="J3" s="451"/>
      <c r="K3" s="451"/>
    </row>
    <row r="4" spans="1:25" ht="18" customHeight="1">
      <c r="A4" s="700" t="s">
        <v>513</v>
      </c>
      <c r="B4" s="700"/>
      <c r="C4" s="700"/>
      <c r="D4" s="700"/>
      <c r="E4" s="700"/>
      <c r="F4" s="700"/>
      <c r="G4" s="700"/>
      <c r="H4" s="700"/>
      <c r="I4" s="700"/>
    </row>
    <row r="5" spans="1:25" ht="18" customHeight="1">
      <c r="A5" s="701" t="s">
        <v>538</v>
      </c>
      <c r="B5" s="700"/>
      <c r="C5" s="700"/>
      <c r="D5" s="700"/>
      <c r="E5" s="700"/>
      <c r="F5" s="700"/>
      <c r="G5" s="700"/>
      <c r="H5" s="700"/>
      <c r="I5" s="700"/>
    </row>
    <row r="6" spans="1:25" ht="15.75" customHeight="1">
      <c r="A6" s="452"/>
      <c r="B6" s="452"/>
      <c r="C6" s="452"/>
      <c r="D6" s="452"/>
      <c r="E6" s="452"/>
      <c r="F6" s="452"/>
      <c r="G6" s="452"/>
      <c r="H6" s="452"/>
      <c r="I6" s="452" t="s">
        <v>12</v>
      </c>
    </row>
    <row r="7" spans="1:25" ht="20.25" customHeight="1">
      <c r="A7" s="702" t="s">
        <v>0</v>
      </c>
      <c r="B7" s="704" t="s">
        <v>50</v>
      </c>
      <c r="C7" s="705"/>
      <c r="D7" s="705"/>
      <c r="E7" s="705"/>
      <c r="F7" s="705"/>
      <c r="G7" s="706"/>
      <c r="H7" s="707" t="s">
        <v>44</v>
      </c>
      <c r="I7" s="709" t="s">
        <v>43</v>
      </c>
    </row>
    <row r="8" spans="1:25" ht="31.5" customHeight="1">
      <c r="A8" s="703"/>
      <c r="B8" s="453" t="s">
        <v>2</v>
      </c>
      <c r="C8" s="569" t="s">
        <v>529</v>
      </c>
      <c r="D8" s="454" t="s">
        <v>64</v>
      </c>
      <c r="E8" s="455" t="s">
        <v>3</v>
      </c>
      <c r="F8" s="455" t="s">
        <v>3</v>
      </c>
      <c r="G8" s="455" t="s">
        <v>25</v>
      </c>
      <c r="H8" s="708"/>
      <c r="I8" s="710"/>
    </row>
    <row r="9" spans="1:25" s="460" customFormat="1" ht="6" customHeight="1">
      <c r="A9" s="456"/>
      <c r="B9" s="456"/>
      <c r="C9" s="456"/>
      <c r="D9" s="457"/>
      <c r="E9" s="458" t="s">
        <v>12</v>
      </c>
      <c r="F9" s="458"/>
      <c r="G9" s="458"/>
      <c r="H9" s="458" t="s">
        <v>12</v>
      </c>
      <c r="I9" s="459" t="s">
        <v>12</v>
      </c>
      <c r="J9" s="450"/>
      <c r="K9" s="450"/>
      <c r="L9" s="450"/>
      <c r="M9" s="450"/>
      <c r="N9" s="450"/>
      <c r="O9" s="450"/>
      <c r="P9" s="450"/>
      <c r="Q9" s="450"/>
      <c r="R9" s="450"/>
      <c r="S9" s="450"/>
      <c r="T9" s="450"/>
      <c r="U9" s="450"/>
      <c r="V9" s="450"/>
      <c r="W9" s="450"/>
      <c r="X9" s="450"/>
      <c r="Y9" s="450"/>
    </row>
    <row r="10" spans="1:25" ht="24.95" customHeight="1">
      <c r="A10" s="461" t="s">
        <v>514</v>
      </c>
      <c r="B10" s="462">
        <f>+[2]CA1!C11</f>
        <v>141094806</v>
      </c>
      <c r="C10" s="572">
        <f>+C12+C26</f>
        <v>-30833366</v>
      </c>
      <c r="D10" s="462">
        <f>+'RECAUDACION ING'!E11</f>
        <v>140457693</v>
      </c>
      <c r="E10" s="462">
        <f>+[2]CA1!D11</f>
        <v>141094806</v>
      </c>
      <c r="F10" s="463"/>
      <c r="G10" s="463">
        <f>+'RECAUDACION ING'!F11</f>
        <v>127336912</v>
      </c>
      <c r="H10" s="463">
        <f>+'RECAUDACION ING'!H11</f>
        <v>83158853.230000004</v>
      </c>
      <c r="I10" s="498">
        <f>H10/G10*100</f>
        <v>65.306164507900121</v>
      </c>
      <c r="J10" s="464"/>
    </row>
    <row r="11" spans="1:25" ht="15" customHeight="1">
      <c r="A11" s="461"/>
      <c r="B11" s="461"/>
      <c r="C11" s="461"/>
      <c r="D11" s="462" t="s">
        <v>12</v>
      </c>
      <c r="E11" s="462">
        <f>+FUNCIONAMIENTO!F177</f>
        <v>39580</v>
      </c>
      <c r="F11" s="463"/>
      <c r="G11" s="463"/>
      <c r="H11" s="463"/>
      <c r="I11" s="499"/>
      <c r="J11" s="464" t="s">
        <v>12</v>
      </c>
      <c r="M11" s="596" t="s">
        <v>12</v>
      </c>
    </row>
    <row r="12" spans="1:25" ht="24.95" customHeight="1">
      <c r="A12" s="465" t="s">
        <v>515</v>
      </c>
      <c r="B12" s="466">
        <f>+B14+B15</f>
        <v>141094806</v>
      </c>
      <c r="C12" s="582">
        <f>+C14+C15</f>
        <v>-637113</v>
      </c>
      <c r="D12" s="462">
        <f>+BALANCE!D11</f>
        <v>140457693</v>
      </c>
      <c r="E12" s="462" t="e">
        <f>+BALANCE!#REF!</f>
        <v>#REF!</v>
      </c>
      <c r="F12" s="462"/>
      <c r="G12" s="462">
        <f>+FUNCIONAMIENTO!G178</f>
        <v>127888568</v>
      </c>
      <c r="H12" s="462">
        <f>+FUNCIONAMIENTO!I178</f>
        <v>110834293.74000001</v>
      </c>
      <c r="I12" s="498">
        <f>H12/G12*100</f>
        <v>86.664739056269681</v>
      </c>
      <c r="M12" s="596" t="s">
        <v>12</v>
      </c>
      <c r="N12" s="596" t="s">
        <v>12</v>
      </c>
    </row>
    <row r="13" spans="1:25" ht="15" customHeight="1">
      <c r="A13" s="467"/>
      <c r="B13" s="467"/>
      <c r="C13" s="467"/>
      <c r="D13" s="462" t="s">
        <v>12</v>
      </c>
      <c r="E13" s="462">
        <f>+FUNCIONAMIENTO!F179</f>
        <v>0</v>
      </c>
      <c r="F13" s="468"/>
      <c r="G13" s="468"/>
      <c r="H13" s="468" t="s">
        <v>12</v>
      </c>
      <c r="I13" s="500"/>
    </row>
    <row r="14" spans="1:25" ht="24.95" customHeight="1">
      <c r="A14" s="469" t="s">
        <v>516</v>
      </c>
      <c r="B14" s="485">
        <f>+BALANCE!B13</f>
        <v>138843212</v>
      </c>
      <c r="C14" s="570">
        <v>-637113</v>
      </c>
      <c r="D14" s="485">
        <f>+BALANCE!D13</f>
        <v>136134252</v>
      </c>
      <c r="E14" s="463" t="e">
        <f>+BALANCE!#REF!</f>
        <v>#REF!</v>
      </c>
      <c r="F14" s="485"/>
      <c r="G14" s="485">
        <f>+BALANCE!E13</f>
        <v>123574974</v>
      </c>
      <c r="H14" s="485">
        <v>98085524</v>
      </c>
      <c r="I14" s="501">
        <f>H14/G14*100</f>
        <v>79.37329122966274</v>
      </c>
      <c r="M14" s="596" t="s">
        <v>12</v>
      </c>
    </row>
    <row r="15" spans="1:25" ht="24.95" customHeight="1">
      <c r="A15" s="471" t="s">
        <v>517</v>
      </c>
      <c r="B15" s="485">
        <f>+FUNCIONAMIENTO!C156</f>
        <v>2251594</v>
      </c>
      <c r="C15" s="485">
        <v>0</v>
      </c>
      <c r="D15" s="485">
        <f>+FUNCIONAMIENTO!F156</f>
        <v>4323441</v>
      </c>
      <c r="E15" s="463" t="e">
        <f>+BALANCE!#REF!</f>
        <v>#REF!</v>
      </c>
      <c r="F15" s="485"/>
      <c r="G15" s="485">
        <f>+FUNCIONAMIENTO!G156</f>
        <v>4313594</v>
      </c>
      <c r="H15" s="485">
        <f>+FUNCIONAMIENTO!I156</f>
        <v>2330654.69</v>
      </c>
      <c r="I15" s="501">
        <f>H15/G15*100</f>
        <v>54.030460214846364</v>
      </c>
      <c r="M15" s="597" t="s">
        <v>12</v>
      </c>
    </row>
    <row r="16" spans="1:25" ht="13.5" customHeight="1">
      <c r="A16" s="471"/>
      <c r="B16" s="486"/>
      <c r="C16" s="486"/>
      <c r="D16" s="487"/>
      <c r="E16" s="485"/>
      <c r="F16" s="485"/>
      <c r="G16" s="485"/>
      <c r="H16" s="485"/>
      <c r="I16" s="501" t="s">
        <v>12</v>
      </c>
      <c r="M16" s="473" t="s">
        <v>12</v>
      </c>
    </row>
    <row r="17" spans="1:12" ht="24.95" customHeight="1">
      <c r="A17" s="465" t="s">
        <v>518</v>
      </c>
      <c r="B17" s="488"/>
      <c r="C17" s="488"/>
      <c r="D17" s="489"/>
      <c r="E17" s="490">
        <v>0</v>
      </c>
      <c r="F17" s="490"/>
      <c r="G17" s="490">
        <v>0</v>
      </c>
      <c r="H17" s="491">
        <f>H10-H12</f>
        <v>-27675440.510000005</v>
      </c>
      <c r="I17" s="501" t="s">
        <v>12</v>
      </c>
    </row>
    <row r="18" spans="1:12" ht="12.75" customHeight="1">
      <c r="A18" s="471" t="s">
        <v>12</v>
      </c>
      <c r="B18" s="486"/>
      <c r="C18" s="486"/>
      <c r="D18" s="487"/>
      <c r="E18" s="485"/>
      <c r="F18" s="485"/>
      <c r="G18" s="485"/>
      <c r="H18" s="485"/>
      <c r="I18" s="501" t="s">
        <v>12</v>
      </c>
    </row>
    <row r="19" spans="1:12" ht="24.95" customHeight="1">
      <c r="A19" s="465" t="s">
        <v>519</v>
      </c>
      <c r="B19" s="492">
        <f>+B21</f>
        <v>56905194</v>
      </c>
      <c r="C19" s="492"/>
      <c r="D19" s="463">
        <f>SUM(D21)</f>
        <v>26708941</v>
      </c>
      <c r="E19" s="463">
        <f>SUM(E21:E24)</f>
        <v>56905194</v>
      </c>
      <c r="F19" s="463"/>
      <c r="G19" s="463">
        <f>SUM(G21:G24)</f>
        <v>26708941</v>
      </c>
      <c r="H19" s="463">
        <f>SUM(H21:H24)</f>
        <v>24360868.960000005</v>
      </c>
      <c r="I19" s="498">
        <f>H19/G19*100</f>
        <v>91.208666640882569</v>
      </c>
    </row>
    <row r="20" spans="1:12" ht="15.75" customHeight="1">
      <c r="A20" s="471"/>
      <c r="B20" s="486"/>
      <c r="C20" s="486"/>
      <c r="D20" s="487"/>
      <c r="E20" s="485" t="s">
        <v>12</v>
      </c>
      <c r="F20" s="485"/>
      <c r="G20" s="485" t="s">
        <v>12</v>
      </c>
      <c r="H20" s="485"/>
      <c r="I20" s="501" t="s">
        <v>12</v>
      </c>
    </row>
    <row r="21" spans="1:12" ht="24.95" customHeight="1">
      <c r="A21" s="471" t="s">
        <v>528</v>
      </c>
      <c r="B21" s="485">
        <f>+PROYECTOS!B42</f>
        <v>56905194</v>
      </c>
      <c r="C21" s="485"/>
      <c r="D21" s="485">
        <f>+PROYECTOS!E42</f>
        <v>26708941</v>
      </c>
      <c r="E21" s="485">
        <f>+PROYECTOS!B42</f>
        <v>56905194</v>
      </c>
      <c r="F21" s="485"/>
      <c r="G21" s="485">
        <f>+PROYECTOS!F42</f>
        <v>26708941</v>
      </c>
      <c r="H21" s="485">
        <f>+PROYECTOS!H42</f>
        <v>24360868.960000005</v>
      </c>
      <c r="I21" s="501">
        <f>H21/G21*100</f>
        <v>91.208666640882569</v>
      </c>
      <c r="J21" s="450" t="s">
        <v>12</v>
      </c>
    </row>
    <row r="22" spans="1:12" ht="24.95" customHeight="1">
      <c r="A22" s="471" t="s">
        <v>520</v>
      </c>
      <c r="B22" s="471"/>
      <c r="C22" s="471"/>
      <c r="D22" s="472"/>
      <c r="E22" s="470">
        <v>0</v>
      </c>
      <c r="F22" s="470"/>
      <c r="G22" s="470">
        <v>0</v>
      </c>
      <c r="H22" s="470" t="s">
        <v>12</v>
      </c>
      <c r="I22" s="501" t="s">
        <v>12</v>
      </c>
    </row>
    <row r="23" spans="1:12" ht="24.95" customHeight="1">
      <c r="A23" s="471" t="s">
        <v>521</v>
      </c>
      <c r="B23" s="471"/>
      <c r="C23" s="471"/>
      <c r="D23" s="472"/>
      <c r="E23" s="470">
        <v>0</v>
      </c>
      <c r="F23" s="470"/>
      <c r="G23" s="470">
        <v>0</v>
      </c>
      <c r="H23" s="470">
        <v>0</v>
      </c>
      <c r="I23" s="501" t="s">
        <v>12</v>
      </c>
    </row>
    <row r="24" spans="1:12" ht="24.95" customHeight="1">
      <c r="A24" s="471" t="s">
        <v>522</v>
      </c>
      <c r="B24" s="471"/>
      <c r="C24" s="471"/>
      <c r="D24" s="472"/>
      <c r="E24" s="470" t="s">
        <v>12</v>
      </c>
      <c r="F24" s="470"/>
      <c r="G24" s="470" t="s">
        <v>12</v>
      </c>
      <c r="H24" s="470">
        <v>0</v>
      </c>
      <c r="I24" s="501" t="s">
        <v>12</v>
      </c>
    </row>
    <row r="25" spans="1:12" ht="11.25" customHeight="1">
      <c r="A25" s="471"/>
      <c r="B25" s="471"/>
      <c r="C25" s="471"/>
      <c r="D25" s="472"/>
      <c r="E25" s="470"/>
      <c r="F25" s="470"/>
      <c r="G25" s="470"/>
      <c r="H25" s="470" t="s">
        <v>12</v>
      </c>
      <c r="I25" s="501" t="s">
        <v>12</v>
      </c>
    </row>
    <row r="26" spans="1:12" ht="24.95" customHeight="1">
      <c r="A26" s="465" t="s">
        <v>523</v>
      </c>
      <c r="B26" s="466">
        <f>+B28+B30</f>
        <v>56905194</v>
      </c>
      <c r="C26" s="571">
        <f>+C30</f>
        <v>-30196253</v>
      </c>
      <c r="D26" s="462">
        <f>SUM(D28:D30)</f>
        <v>26708941</v>
      </c>
      <c r="E26" s="462" t="e">
        <f>SUM(E28:E30)</f>
        <v>#REF!</v>
      </c>
      <c r="F26" s="462"/>
      <c r="G26" s="462">
        <f>SUM(G28:G30)</f>
        <v>26797099</v>
      </c>
      <c r="H26" s="462">
        <f>SUM(H28:H30)</f>
        <v>13306673</v>
      </c>
      <c r="I26" s="498">
        <f>H26/G26*100</f>
        <v>49.657140125503886</v>
      </c>
    </row>
    <row r="27" spans="1:12" ht="12.75" customHeight="1">
      <c r="A27" s="471"/>
      <c r="B27" s="471"/>
      <c r="C27" s="471"/>
      <c r="D27" s="472"/>
      <c r="E27" s="470"/>
      <c r="F27" s="470"/>
      <c r="G27" s="470"/>
      <c r="H27" s="470"/>
      <c r="I27" s="501" t="s">
        <v>12</v>
      </c>
    </row>
    <row r="28" spans="1:12" ht="24.95" customHeight="1">
      <c r="A28" s="471" t="s">
        <v>524</v>
      </c>
      <c r="B28" s="470">
        <f>+'RECAUDACION ING'!C40</f>
        <v>2100000</v>
      </c>
      <c r="C28" s="470"/>
      <c r="D28" s="470">
        <f>+'RECAUDACION ING'!E40</f>
        <v>2100000</v>
      </c>
      <c r="E28" s="470">
        <f>+'RECAUDACION ING'!E40</f>
        <v>2100000</v>
      </c>
      <c r="F28" s="470"/>
      <c r="G28" s="470">
        <f>+'RECAUDACION ING'!F40</f>
        <v>2100000</v>
      </c>
      <c r="H28" s="470">
        <f>+'RECAUDACION ING'!H41</f>
        <v>2100000</v>
      </c>
      <c r="I28" s="501">
        <f>H28/G28*100</f>
        <v>100</v>
      </c>
    </row>
    <row r="29" spans="1:12" ht="24.95" customHeight="1">
      <c r="A29" s="471" t="s">
        <v>525</v>
      </c>
      <c r="B29" s="471"/>
      <c r="C29" s="471"/>
      <c r="D29" s="472"/>
      <c r="E29" s="470">
        <v>0</v>
      </c>
      <c r="F29" s="470"/>
      <c r="G29" s="470">
        <v>0</v>
      </c>
      <c r="H29" s="470">
        <v>0</v>
      </c>
      <c r="I29" s="501" t="s">
        <v>12</v>
      </c>
      <c r="L29" s="450" t="s">
        <v>12</v>
      </c>
    </row>
    <row r="30" spans="1:12" ht="24.95" customHeight="1">
      <c r="A30" s="471" t="s">
        <v>526</v>
      </c>
      <c r="B30" s="470">
        <f>+'RECAUDACION ING'!C37</f>
        <v>54805194</v>
      </c>
      <c r="C30" s="571">
        <f>+D30-B30</f>
        <v>-30196253</v>
      </c>
      <c r="D30" s="470">
        <f>+'RECAUDACION ING'!E37</f>
        <v>24608941</v>
      </c>
      <c r="E30" s="470" t="e">
        <f>+'RECAUDACION ING'!#REF!</f>
        <v>#REF!</v>
      </c>
      <c r="F30" s="470"/>
      <c r="G30" s="470">
        <f>+'RECAUDACION ING'!F37</f>
        <v>24697099</v>
      </c>
      <c r="H30" s="470">
        <f>+'RECAUDACION ING'!H37</f>
        <v>11206673</v>
      </c>
      <c r="I30" s="501">
        <f>H30/G30*100</f>
        <v>45.376475188442171</v>
      </c>
    </row>
    <row r="31" spans="1:12" ht="8.25" customHeight="1">
      <c r="A31" s="474"/>
      <c r="B31" s="474"/>
      <c r="C31" s="474"/>
      <c r="D31" s="475"/>
      <c r="E31" s="476" t="s">
        <v>12</v>
      </c>
      <c r="F31" s="476"/>
      <c r="G31" s="476" t="s">
        <v>12</v>
      </c>
      <c r="H31" s="468" t="s">
        <v>12</v>
      </c>
      <c r="I31" s="500" t="s">
        <v>12</v>
      </c>
    </row>
    <row r="32" spans="1:12" ht="24.95" customHeight="1">
      <c r="A32" s="477" t="s">
        <v>527</v>
      </c>
      <c r="B32" s="477"/>
      <c r="C32" s="477"/>
      <c r="D32" s="493"/>
      <c r="E32" s="494" t="s">
        <v>12</v>
      </c>
      <c r="F32" s="494"/>
      <c r="G32" s="494" t="s">
        <v>12</v>
      </c>
      <c r="H32" s="495">
        <f>H17-H19+H26</f>
        <v>-38729636.470000014</v>
      </c>
      <c r="I32" s="502" t="s">
        <v>12</v>
      </c>
    </row>
    <row r="33" spans="1:12" ht="16.5" customHeight="1">
      <c r="A33" s="478" t="s">
        <v>12</v>
      </c>
      <c r="B33" s="478"/>
      <c r="C33" s="478"/>
      <c r="D33" s="478"/>
      <c r="E33" s="479"/>
      <c r="F33" s="479"/>
      <c r="G33" s="479"/>
      <c r="H33" s="479"/>
      <c r="I33" s="503"/>
      <c r="J33" s="480"/>
      <c r="K33" s="481"/>
      <c r="L33" s="481"/>
    </row>
    <row r="34" spans="1:12" ht="13.5" customHeight="1">
      <c r="A34" s="482" t="s">
        <v>49</v>
      </c>
      <c r="B34" s="450"/>
      <c r="C34" s="450"/>
      <c r="D34" s="450"/>
      <c r="E34" s="450"/>
      <c r="F34" s="450"/>
      <c r="G34" s="450"/>
      <c r="H34" s="450"/>
      <c r="I34" s="452"/>
      <c r="J34" s="481"/>
      <c r="K34" s="483"/>
      <c r="L34" s="481"/>
    </row>
    <row r="35" spans="1:12" ht="12.75" customHeight="1">
      <c r="A35" s="450"/>
      <c r="B35" s="450"/>
      <c r="C35" s="450"/>
      <c r="D35" s="450"/>
      <c r="E35" s="450"/>
      <c r="F35" s="450"/>
      <c r="G35" s="450"/>
      <c r="H35" s="698" t="s">
        <v>12</v>
      </c>
      <c r="I35" s="698"/>
      <c r="J35" s="481"/>
      <c r="K35" s="484" t="s">
        <v>12</v>
      </c>
      <c r="L35" s="481"/>
    </row>
    <row r="36" spans="1:12" ht="14.25" customHeight="1">
      <c r="E36" s="480"/>
      <c r="F36" s="480"/>
      <c r="G36" s="480"/>
      <c r="H36" s="480"/>
      <c r="I36" s="504"/>
    </row>
    <row r="37" spans="1:12" ht="11.25" customHeight="1">
      <c r="A37" s="480" t="s">
        <v>12</v>
      </c>
      <c r="B37" s="480"/>
      <c r="C37" s="480"/>
      <c r="D37" s="480"/>
    </row>
    <row r="38" spans="1:12" ht="11.25" customHeight="1">
      <c r="A38" s="480"/>
      <c r="B38" s="480"/>
      <c r="C38" s="480"/>
      <c r="D38" s="480"/>
      <c r="K38" s="450" t="s">
        <v>12</v>
      </c>
    </row>
    <row r="39" spans="1:12" ht="11.25" customHeight="1">
      <c r="A39" s="480"/>
      <c r="B39" s="480"/>
      <c r="C39" s="480"/>
      <c r="D39" s="480"/>
    </row>
    <row r="56" spans="8:8">
      <c r="H56" s="481" t="s">
        <v>12</v>
      </c>
    </row>
  </sheetData>
  <mergeCells count="9">
    <mergeCell ref="H35:I35"/>
    <mergeCell ref="A2:I2"/>
    <mergeCell ref="A3:I3"/>
    <mergeCell ref="A4:I4"/>
    <mergeCell ref="A5:I5"/>
    <mergeCell ref="A7:A8"/>
    <mergeCell ref="B7:G7"/>
    <mergeCell ref="H7:H8"/>
    <mergeCell ref="I7:I8"/>
  </mergeCells>
  <pageMargins left="0.70866141732283505" right="0.59055118110236204" top="0.39370078740157499" bottom="0.39370078740157499" header="0.511811023622047" footer="0.511811023622047"/>
  <pageSetup paperSize="5" scale="80" firstPageNumber="0" orientation="portrait" useFirstPageNumber="1" r:id="rId1"/>
  <headerFooter alignWithMargins="0"/>
  <ignoredErrors>
    <ignoredError sqref="D21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theme="6" tint="-0.249977111117893"/>
  </sheetPr>
  <dimension ref="A1:O88"/>
  <sheetViews>
    <sheetView showGridLines="0" showZeros="0" topLeftCell="A157" workbookViewId="0">
      <pane ySplit="1560" activePane="bottomLeft"/>
      <selection pane="bottomLeft" sqref="A1:J54"/>
    </sheetView>
  </sheetViews>
  <sheetFormatPr baseColWidth="10" defaultColWidth="11.42578125" defaultRowHeight="12.75"/>
  <cols>
    <col min="1" max="1" width="32" style="4" customWidth="1"/>
    <col min="2" max="2" width="11.140625" style="4" customWidth="1"/>
    <col min="3" max="3" width="12.28515625" style="4" hidden="1" customWidth="1"/>
    <col min="4" max="4" width="12.7109375" style="4" customWidth="1"/>
    <col min="5" max="5" width="13.28515625" style="4" hidden="1" customWidth="1"/>
    <col min="6" max="6" width="15.140625" style="4" hidden="1" customWidth="1"/>
    <col min="7" max="7" width="12.28515625" style="4" customWidth="1"/>
    <col min="8" max="8" width="17.28515625" style="4" customWidth="1"/>
    <col min="9" max="9" width="13.42578125" style="4" hidden="1" customWidth="1"/>
    <col min="10" max="10" width="14.28515625" style="4" customWidth="1"/>
  </cols>
  <sheetData>
    <row r="1" spans="1:15" ht="18" customHeight="1">
      <c r="A1" s="677" t="s">
        <v>59</v>
      </c>
      <c r="B1" s="677"/>
      <c r="C1" s="677"/>
      <c r="D1" s="677"/>
      <c r="E1" s="677"/>
      <c r="F1" s="677"/>
      <c r="G1" s="677"/>
      <c r="H1" s="677"/>
      <c r="I1" s="677"/>
      <c r="J1" s="677"/>
    </row>
    <row r="2" spans="1:15" ht="19.5" customHeight="1">
      <c r="A2" s="677" t="s">
        <v>60</v>
      </c>
      <c r="B2" s="677"/>
      <c r="C2" s="677"/>
      <c r="D2" s="677"/>
      <c r="E2" s="677"/>
      <c r="F2" s="677"/>
      <c r="G2" s="677"/>
      <c r="H2" s="677"/>
      <c r="I2" s="677"/>
      <c r="J2" s="677"/>
    </row>
    <row r="3" spans="1:15" ht="18" customHeight="1">
      <c r="A3" s="678" t="s">
        <v>137</v>
      </c>
      <c r="B3" s="678"/>
      <c r="C3" s="678"/>
      <c r="D3" s="678"/>
      <c r="E3" s="678"/>
      <c r="F3" s="678"/>
      <c r="G3" s="678"/>
      <c r="H3" s="678"/>
      <c r="I3" s="678"/>
      <c r="J3" s="678"/>
    </row>
    <row r="4" spans="1:15" ht="18" customHeight="1">
      <c r="A4" s="678" t="s">
        <v>539</v>
      </c>
      <c r="B4" s="678"/>
      <c r="C4" s="678"/>
      <c r="D4" s="678"/>
      <c r="E4" s="678"/>
      <c r="F4" s="678"/>
      <c r="G4" s="678"/>
      <c r="H4" s="678"/>
      <c r="I4" s="678"/>
      <c r="J4" s="678"/>
    </row>
    <row r="5" spans="1:15" ht="3" customHeight="1">
      <c r="A5" s="241"/>
      <c r="B5" s="241"/>
      <c r="C5" s="241"/>
      <c r="D5" s="241"/>
      <c r="E5" s="241"/>
      <c r="F5" s="241"/>
      <c r="G5" s="241"/>
      <c r="H5" s="241"/>
      <c r="I5" s="241"/>
      <c r="J5" s="241"/>
    </row>
    <row r="6" spans="1:15" ht="8.25" customHeight="1">
      <c r="A6" s="241"/>
      <c r="B6" s="241"/>
      <c r="C6" s="241"/>
      <c r="D6" s="241"/>
      <c r="E6" s="241"/>
      <c r="F6" s="6"/>
      <c r="G6" s="6"/>
      <c r="H6" s="6"/>
      <c r="I6" s="6"/>
      <c r="J6" s="3"/>
    </row>
    <row r="7" spans="1:15" ht="20.100000000000001" customHeight="1">
      <c r="A7" s="711" t="s">
        <v>0</v>
      </c>
      <c r="B7" s="714" t="s">
        <v>50</v>
      </c>
      <c r="C7" s="715"/>
      <c r="D7" s="715"/>
      <c r="E7" s="715"/>
      <c r="F7" s="715"/>
      <c r="G7" s="715"/>
      <c r="H7" s="716"/>
      <c r="I7" s="254"/>
      <c r="J7" s="712" t="s">
        <v>43</v>
      </c>
    </row>
    <row r="8" spans="1:15" ht="31.5" customHeight="1">
      <c r="A8" s="669"/>
      <c r="B8" s="255" t="s">
        <v>2</v>
      </c>
      <c r="C8" s="255" t="s">
        <v>529</v>
      </c>
      <c r="D8" s="256" t="s">
        <v>64</v>
      </c>
      <c r="E8" s="256" t="s">
        <v>3</v>
      </c>
      <c r="F8" s="257" t="s">
        <v>3</v>
      </c>
      <c r="G8" s="257" t="s">
        <v>25</v>
      </c>
      <c r="H8" s="256" t="s">
        <v>44</v>
      </c>
      <c r="I8" s="258" t="s">
        <v>51</v>
      </c>
      <c r="J8" s="713"/>
      <c r="M8" t="s">
        <v>12</v>
      </c>
    </row>
    <row r="9" spans="1:15" ht="6.75" customHeight="1">
      <c r="A9" s="259"/>
      <c r="B9" s="259"/>
      <c r="C9" s="259"/>
      <c r="D9" s="260"/>
      <c r="E9" s="261"/>
      <c r="F9" s="262"/>
      <c r="G9" s="263"/>
      <c r="H9" s="263"/>
      <c r="I9" s="263"/>
      <c r="J9" s="292"/>
    </row>
    <row r="10" spans="1:15" ht="18" customHeight="1">
      <c r="A10" s="264" t="s">
        <v>6</v>
      </c>
      <c r="B10" s="264"/>
      <c r="C10" s="264"/>
      <c r="D10" s="265"/>
      <c r="E10" s="266"/>
      <c r="F10" s="266"/>
      <c r="G10" s="266"/>
      <c r="H10" s="266"/>
      <c r="I10" s="266"/>
      <c r="J10" s="293"/>
    </row>
    <row r="11" spans="1:15" ht="9" customHeight="1">
      <c r="A11" s="267"/>
      <c r="B11" s="267"/>
      <c r="C11" s="267"/>
      <c r="D11" s="268"/>
      <c r="E11" s="268"/>
      <c r="F11" s="268"/>
      <c r="G11" s="268"/>
      <c r="H11" s="268"/>
      <c r="I11" s="268"/>
      <c r="J11" s="294"/>
    </row>
    <row r="12" spans="1:15" ht="15" customHeight="1">
      <c r="A12" s="267" t="s">
        <v>54</v>
      </c>
      <c r="B12" s="269">
        <f>B15</f>
        <v>141094.80600000001</v>
      </c>
      <c r="C12" s="270">
        <f>+C15</f>
        <v>-637.11300000000028</v>
      </c>
      <c r="D12" s="269">
        <f>D15</f>
        <v>140457.69300000003</v>
      </c>
      <c r="E12" s="269" t="e">
        <f>+E15</f>
        <v>#REF!</v>
      </c>
      <c r="F12" s="269" t="e">
        <f>+F15+#REF!</f>
        <v>#REF!</v>
      </c>
      <c r="G12" s="269">
        <f>+G15</f>
        <v>127336.912</v>
      </c>
      <c r="H12" s="269">
        <f>+H15</f>
        <v>83158.853230000008</v>
      </c>
      <c r="I12" s="270" t="e">
        <f>+H12-F12</f>
        <v>#REF!</v>
      </c>
      <c r="J12" s="295">
        <f>H12/G12*100</f>
        <v>65.306164507900121</v>
      </c>
    </row>
    <row r="13" spans="1:15" ht="11.25" customHeight="1">
      <c r="A13" s="271"/>
      <c r="B13" s="272"/>
      <c r="C13" s="272"/>
      <c r="D13" s="272"/>
      <c r="E13" s="272"/>
      <c r="F13" s="272"/>
      <c r="G13" s="272"/>
      <c r="H13" s="272"/>
      <c r="I13" s="272"/>
      <c r="J13" s="296" t="s">
        <v>12</v>
      </c>
    </row>
    <row r="14" spans="1:15" ht="15" customHeight="1">
      <c r="A14" s="267" t="s">
        <v>138</v>
      </c>
      <c r="B14" s="272"/>
      <c r="C14" s="272"/>
      <c r="D14" s="272"/>
      <c r="E14" s="272"/>
      <c r="F14" s="272"/>
      <c r="G14" s="272"/>
      <c r="H14" s="272"/>
      <c r="I14" s="272"/>
      <c r="J14" s="296" t="s">
        <v>12</v>
      </c>
    </row>
    <row r="15" spans="1:15" ht="15" customHeight="1">
      <c r="A15" s="267" t="s">
        <v>139</v>
      </c>
      <c r="B15" s="269">
        <f>SUM(B16:B19)</f>
        <v>141094.80600000001</v>
      </c>
      <c r="C15" s="270">
        <f>+C18</f>
        <v>-637.11300000000028</v>
      </c>
      <c r="D15" s="269">
        <f>SUM(D16:D19)</f>
        <v>140457.69300000003</v>
      </c>
      <c r="E15" s="269" t="e">
        <f>SUM(E16:E19)</f>
        <v>#REF!</v>
      </c>
      <c r="F15" s="269">
        <f>SUM(F16:F19)</f>
        <v>140457.69300000003</v>
      </c>
      <c r="G15" s="269">
        <f>+G16+G17+G18+G19</f>
        <v>127336.912</v>
      </c>
      <c r="H15" s="269">
        <f>+('RECAUDACION ING'!H13)/1000</f>
        <v>83158.853230000008</v>
      </c>
      <c r="I15" s="270">
        <f>+H15-F15</f>
        <v>-57298.839770000021</v>
      </c>
      <c r="J15" s="295">
        <f t="shared" ref="J15:J50" si="0">H15/G15*100</f>
        <v>65.306164507900121</v>
      </c>
      <c r="O15" s="53">
        <f>+H16+H17+H18+H19</f>
        <v>83158.853229999993</v>
      </c>
    </row>
    <row r="16" spans="1:15" ht="15" customHeight="1">
      <c r="A16" s="274" t="s">
        <v>140</v>
      </c>
      <c r="B16" s="273">
        <f>+('RECAUDACION ING'!C15)/1000</f>
        <v>5476.4920000000002</v>
      </c>
      <c r="C16" s="273"/>
      <c r="D16" s="273">
        <f>+('RECAUDACION ING'!E15)/1000</f>
        <v>5476.4920000000002</v>
      </c>
      <c r="E16" s="273" t="e">
        <f>+('RECAUDACION ING'!#REF!)/1000</f>
        <v>#REF!</v>
      </c>
      <c r="F16" s="273">
        <f>+('RECAUDACION ING'!E15)/1000</f>
        <v>5476.4920000000002</v>
      </c>
      <c r="G16" s="273">
        <f>+('RECAUDACION ING'!F15)/1000</f>
        <v>5099.7219999999998</v>
      </c>
      <c r="H16" s="273">
        <f>+('RECAUDACION ING'!H15)/1000</f>
        <v>1644.4077000000002</v>
      </c>
      <c r="I16" s="275">
        <f>+H16-F16</f>
        <v>-3832.0843</v>
      </c>
      <c r="J16" s="297">
        <f t="shared" si="0"/>
        <v>32.245045906423925</v>
      </c>
      <c r="K16" t="s">
        <v>12</v>
      </c>
    </row>
    <row r="17" spans="1:12" ht="15" customHeight="1">
      <c r="A17" s="274" t="s">
        <v>141</v>
      </c>
      <c r="B17" s="273">
        <f>+('RECAUDACION ING'!C21)/1000</f>
        <v>127866.63400000001</v>
      </c>
      <c r="C17" s="273"/>
      <c r="D17" s="273">
        <f>+('RECAUDACION ING'!E21)/1000</f>
        <v>127866.63400000001</v>
      </c>
      <c r="E17" s="273">
        <f>+('RECAUDACION ING'!E21)/1000</f>
        <v>127866.63400000001</v>
      </c>
      <c r="F17" s="273">
        <f>+('RECAUDACION ING'!E21)/1000</f>
        <v>127866.63400000001</v>
      </c>
      <c r="G17" s="273">
        <f>+('RECAUDACION ING'!F21)/1000</f>
        <v>115647.359</v>
      </c>
      <c r="H17" s="273">
        <f>+('RECAUDACION ING'!H21)/1000</f>
        <v>73829.209000000003</v>
      </c>
      <c r="I17" s="275">
        <f>+H17-F17</f>
        <v>-54037.425000000003</v>
      </c>
      <c r="J17" s="297">
        <f t="shared" si="0"/>
        <v>63.839943807104149</v>
      </c>
      <c r="L17" t="s">
        <v>12</v>
      </c>
    </row>
    <row r="18" spans="1:12" ht="15" customHeight="1">
      <c r="A18" s="274" t="s">
        <v>142</v>
      </c>
      <c r="B18" s="273">
        <f>+('RECAUDACION ING'!C26)/1000</f>
        <v>5251.68</v>
      </c>
      <c r="C18" s="275">
        <f>+D18-B18</f>
        <v>-637.11300000000028</v>
      </c>
      <c r="D18" s="273">
        <f>+('RECAUDACION ING'!E26)/1000</f>
        <v>4614.567</v>
      </c>
      <c r="E18" s="273" t="e">
        <f>+('RECAUDACION ING'!#REF!)/1000</f>
        <v>#REF!</v>
      </c>
      <c r="F18" s="273">
        <f>+('RECAUDACION ING'!E26)/1000</f>
        <v>4614.567</v>
      </c>
      <c r="G18" s="273">
        <f>+('RECAUDACION ING'!F26)/1000</f>
        <v>4256.4970000000003</v>
      </c>
      <c r="H18" s="273">
        <f>+('RECAUDACION ING'!H26)/1000</f>
        <v>6831.8568799999994</v>
      </c>
      <c r="I18" s="275">
        <f>+H18-F18</f>
        <v>2217.2898799999994</v>
      </c>
      <c r="J18" s="297">
        <f t="shared" si="0"/>
        <v>160.50420991721595</v>
      </c>
    </row>
    <row r="19" spans="1:12" ht="15" customHeight="1">
      <c r="A19" s="274" t="s">
        <v>143</v>
      </c>
      <c r="B19" s="273">
        <f>+('RECAUDACION ING'!C31)/1000</f>
        <v>2500</v>
      </c>
      <c r="C19" s="273"/>
      <c r="D19" s="273">
        <f>+('RECAUDACION ING'!E31)/1000</f>
        <v>2500</v>
      </c>
      <c r="E19" s="273" t="e">
        <f>+('RECAUDACION ING'!#REF!)/1000</f>
        <v>#REF!</v>
      </c>
      <c r="F19" s="273">
        <f>+('RECAUDACION ING'!E31)/1000</f>
        <v>2500</v>
      </c>
      <c r="G19" s="273">
        <f>+('RECAUDACION ING'!F31)/1000</f>
        <v>2333.3339999999998</v>
      </c>
      <c r="H19" s="273">
        <f>+('RECAUDACION ING'!H31)/1000</f>
        <v>853.37964999999997</v>
      </c>
      <c r="I19" s="275">
        <f>+H19-F19</f>
        <v>-1646.6203500000001</v>
      </c>
      <c r="J19" s="297">
        <f t="shared" si="0"/>
        <v>36.573403121884823</v>
      </c>
    </row>
    <row r="20" spans="1:12" ht="9" customHeight="1">
      <c r="A20" s="271"/>
      <c r="B20" s="272"/>
      <c r="C20" s="272"/>
      <c r="D20" s="272"/>
      <c r="E20" s="272"/>
      <c r="F20" s="272"/>
      <c r="G20" s="272"/>
      <c r="H20" s="272"/>
      <c r="I20" s="272"/>
      <c r="J20" s="296" t="s">
        <v>12</v>
      </c>
    </row>
    <row r="21" spans="1:12" ht="15" customHeight="1">
      <c r="A21" s="267" t="s">
        <v>32</v>
      </c>
      <c r="B21" s="269">
        <f t="shared" ref="B21:H21" si="1">SUM(B23:B25)</f>
        <v>56905.194000000003</v>
      </c>
      <c r="C21" s="270">
        <f>+C25</f>
        <v>-30196.253000000004</v>
      </c>
      <c r="D21" s="269">
        <f t="shared" si="1"/>
        <v>26708.940999999999</v>
      </c>
      <c r="E21" s="269" t="e">
        <f t="shared" si="1"/>
        <v>#REF!</v>
      </c>
      <c r="F21" s="269">
        <f t="shared" si="1"/>
        <v>7310.5339999999997</v>
      </c>
      <c r="G21" s="269">
        <f t="shared" si="1"/>
        <v>26797.098999999998</v>
      </c>
      <c r="H21" s="269">
        <f t="shared" si="1"/>
        <v>13306.673000000001</v>
      </c>
      <c r="I21" s="270">
        <f>+H21-F21</f>
        <v>5996.139000000001</v>
      </c>
      <c r="J21" s="295">
        <f t="shared" si="0"/>
        <v>49.657140125503894</v>
      </c>
    </row>
    <row r="22" spans="1:12" ht="9" customHeight="1">
      <c r="A22" s="271"/>
      <c r="B22" s="272"/>
      <c r="C22" s="272"/>
      <c r="D22" s="272"/>
      <c r="E22" s="272"/>
      <c r="F22" s="272"/>
      <c r="G22" s="272"/>
      <c r="H22" s="272"/>
      <c r="I22" s="276"/>
      <c r="J22" s="296" t="s">
        <v>12</v>
      </c>
    </row>
    <row r="23" spans="1:12" ht="15" customHeight="1">
      <c r="A23" s="274" t="s">
        <v>144</v>
      </c>
      <c r="B23" s="273">
        <f>+('RECAUDACION ING'!C40)/1000</f>
        <v>2100</v>
      </c>
      <c r="C23" s="273"/>
      <c r="D23" s="273">
        <f>+('RECAUDACION ING'!E40)/1000</f>
        <v>2100</v>
      </c>
      <c r="E23" s="273" t="e">
        <f>+('RECAUDACION ING'!#REF!)/1000</f>
        <v>#REF!</v>
      </c>
      <c r="F23" s="273">
        <f>+('RECAUDACION ING'!E40)/1000</f>
        <v>2100</v>
      </c>
      <c r="G23" s="273">
        <f>+('RECAUDACION ING'!F40)/1000</f>
        <v>2100</v>
      </c>
      <c r="H23" s="273">
        <f>+('RECAUDACION ING'!H40)/1000</f>
        <v>2100</v>
      </c>
      <c r="I23" s="275">
        <f>+H23-F23</f>
        <v>0</v>
      </c>
      <c r="J23" s="297">
        <f t="shared" si="0"/>
        <v>100</v>
      </c>
    </row>
    <row r="24" spans="1:12" ht="15" customHeight="1">
      <c r="A24" s="274" t="s">
        <v>145</v>
      </c>
      <c r="B24" s="273">
        <v>0</v>
      </c>
      <c r="C24" s="273"/>
      <c r="D24" s="273">
        <v>0</v>
      </c>
      <c r="E24" s="273">
        <v>0</v>
      </c>
      <c r="F24" s="273">
        <v>0</v>
      </c>
      <c r="G24" s="273">
        <v>0</v>
      </c>
      <c r="H24" s="273">
        <v>0</v>
      </c>
      <c r="I24" s="275">
        <f>+H24-F24</f>
        <v>0</v>
      </c>
      <c r="J24" s="297" t="s">
        <v>12</v>
      </c>
    </row>
    <row r="25" spans="1:12" ht="15" customHeight="1">
      <c r="A25" s="267" t="s">
        <v>146</v>
      </c>
      <c r="B25" s="269">
        <f t="shared" ref="B25:H25" si="2">SUM(B26)</f>
        <v>54805.194000000003</v>
      </c>
      <c r="C25" s="270">
        <f>+C26</f>
        <v>-30196.253000000004</v>
      </c>
      <c r="D25" s="269">
        <f t="shared" si="2"/>
        <v>24608.940999999999</v>
      </c>
      <c r="E25" s="269" t="e">
        <f t="shared" si="2"/>
        <v>#REF!</v>
      </c>
      <c r="F25" s="269">
        <f t="shared" si="2"/>
        <v>5210.5339999999997</v>
      </c>
      <c r="G25" s="269">
        <f t="shared" si="2"/>
        <v>24697.098999999998</v>
      </c>
      <c r="H25" s="269">
        <f t="shared" si="2"/>
        <v>11206.673000000001</v>
      </c>
      <c r="I25" s="270">
        <f>+H25-F25</f>
        <v>5996.139000000001</v>
      </c>
      <c r="J25" s="295">
        <f t="shared" si="0"/>
        <v>45.376475188442178</v>
      </c>
    </row>
    <row r="26" spans="1:12" ht="15" customHeight="1">
      <c r="A26" s="274" t="s">
        <v>147</v>
      </c>
      <c r="B26" s="273">
        <f>+('RECAUDACION ING'!C37)/1000</f>
        <v>54805.194000000003</v>
      </c>
      <c r="C26" s="275">
        <f>+D26-B26</f>
        <v>-30196.253000000004</v>
      </c>
      <c r="D26" s="273">
        <f>+('RECAUDACION ING'!E37)/1000</f>
        <v>24608.940999999999</v>
      </c>
      <c r="E26" s="273" t="e">
        <f>+('RECAUDACION ING'!#REF!)/1000</f>
        <v>#REF!</v>
      </c>
      <c r="F26" s="273">
        <f>+('RECAUDACION ING'!E45)/1000</f>
        <v>5210.5339999999997</v>
      </c>
      <c r="G26" s="273">
        <f>+('RECAUDACION ING'!F37)/1000</f>
        <v>24697.098999999998</v>
      </c>
      <c r="H26" s="273">
        <f>+('RECAUDACION ING'!H37)/1000</f>
        <v>11206.673000000001</v>
      </c>
      <c r="I26" s="275">
        <f>+H26-F26</f>
        <v>5996.139000000001</v>
      </c>
      <c r="J26" s="297">
        <f t="shared" si="0"/>
        <v>45.376475188442178</v>
      </c>
    </row>
    <row r="27" spans="1:12" ht="15" customHeight="1">
      <c r="A27" s="274" t="s">
        <v>148</v>
      </c>
      <c r="B27" s="273"/>
      <c r="C27" s="273"/>
      <c r="D27" s="273"/>
      <c r="E27" s="273"/>
      <c r="F27" s="273"/>
      <c r="G27" s="273"/>
      <c r="H27" s="273"/>
      <c r="I27" s="275"/>
      <c r="J27" s="297" t="s">
        <v>12</v>
      </c>
    </row>
    <row r="28" spans="1:12" ht="9" customHeight="1">
      <c r="A28" s="274"/>
      <c r="B28" s="273"/>
      <c r="C28" s="273"/>
      <c r="D28" s="273"/>
      <c r="E28" s="273"/>
      <c r="F28" s="273"/>
      <c r="G28" s="273"/>
      <c r="H28" s="273"/>
      <c r="I28" s="275"/>
      <c r="J28" s="297" t="s">
        <v>12</v>
      </c>
    </row>
    <row r="29" spans="1:12" ht="18" customHeight="1">
      <c r="A29" s="267" t="s">
        <v>149</v>
      </c>
      <c r="B29" s="269">
        <f t="shared" ref="B29:H29" si="3">+B12+B21</f>
        <v>198000</v>
      </c>
      <c r="C29" s="269"/>
      <c r="D29" s="269">
        <f t="shared" si="3"/>
        <v>167166.63400000002</v>
      </c>
      <c r="E29" s="269" t="e">
        <f t="shared" si="3"/>
        <v>#REF!</v>
      </c>
      <c r="F29" s="269" t="e">
        <f t="shared" si="3"/>
        <v>#REF!</v>
      </c>
      <c r="G29" s="269">
        <f t="shared" si="3"/>
        <v>154134.011</v>
      </c>
      <c r="H29" s="269">
        <f t="shared" si="3"/>
        <v>96465.526230000003</v>
      </c>
      <c r="I29" s="270" t="e">
        <f>+H29-F29</f>
        <v>#REF!</v>
      </c>
      <c r="J29" s="295">
        <f t="shared" si="0"/>
        <v>62.58549012261804</v>
      </c>
    </row>
    <row r="30" spans="1:12" ht="9" customHeight="1">
      <c r="A30" s="274"/>
      <c r="B30" s="277"/>
      <c r="C30" s="277"/>
      <c r="D30" s="277"/>
      <c r="E30" s="273"/>
      <c r="F30" s="273"/>
      <c r="G30" s="273"/>
      <c r="H30" s="273"/>
      <c r="I30" s="273"/>
      <c r="J30" s="297" t="s">
        <v>12</v>
      </c>
    </row>
    <row r="31" spans="1:12" ht="18" customHeight="1">
      <c r="A31" s="264" t="s">
        <v>55</v>
      </c>
      <c r="B31" s="278"/>
      <c r="C31" s="278"/>
      <c r="D31" s="278"/>
      <c r="E31" s="273"/>
      <c r="F31" s="273"/>
      <c r="G31" s="273"/>
      <c r="H31" s="273"/>
      <c r="I31" s="273"/>
      <c r="J31" s="297" t="s">
        <v>12</v>
      </c>
    </row>
    <row r="32" spans="1:12" ht="9" customHeight="1">
      <c r="A32" s="274"/>
      <c r="B32" s="277"/>
      <c r="C32" s="277"/>
      <c r="D32" s="277"/>
      <c r="E32" s="273"/>
      <c r="F32" s="273"/>
      <c r="G32" s="273"/>
      <c r="H32" s="273"/>
      <c r="I32" s="273"/>
      <c r="J32" s="297" t="s">
        <v>12</v>
      </c>
    </row>
    <row r="33" spans="1:11" ht="15" customHeight="1">
      <c r="A33" s="267" t="s">
        <v>56</v>
      </c>
      <c r="B33" s="269">
        <f>+B35+B41</f>
        <v>141094.80599999998</v>
      </c>
      <c r="C33" s="269"/>
      <c r="D33" s="269">
        <f>+D35+D41</f>
        <v>140457.693</v>
      </c>
      <c r="E33" s="269" t="e">
        <f>+E35+E41+#REF!</f>
        <v>#REF!</v>
      </c>
      <c r="F33" s="269" t="e">
        <f>+F35+F41+#REF!</f>
        <v>#REF!</v>
      </c>
      <c r="G33" s="269">
        <f>+G35+G41</f>
        <v>127888.56799999998</v>
      </c>
      <c r="H33" s="269">
        <f>+H35+H41</f>
        <v>110834.29373999999</v>
      </c>
      <c r="I33" s="269" t="e">
        <f>+F33-H33</f>
        <v>#REF!</v>
      </c>
      <c r="J33" s="295">
        <f t="shared" si="0"/>
        <v>86.664739056269681</v>
      </c>
    </row>
    <row r="34" spans="1:11" ht="15" customHeight="1">
      <c r="A34" s="274"/>
      <c r="B34" s="277"/>
      <c r="C34" s="277"/>
      <c r="D34" s="277"/>
      <c r="E34" s="273"/>
      <c r="F34" s="273"/>
      <c r="G34" s="273"/>
      <c r="H34" s="273"/>
      <c r="I34" s="273"/>
      <c r="J34" s="297"/>
    </row>
    <row r="35" spans="1:11" ht="18" customHeight="1">
      <c r="A35" s="267" t="s">
        <v>150</v>
      </c>
      <c r="B35" s="269">
        <f t="shared" ref="B35:H35" si="4">SUM(B36:B39)</f>
        <v>138843.21199999997</v>
      </c>
      <c r="C35" s="269"/>
      <c r="D35" s="269">
        <f t="shared" si="4"/>
        <v>136134.25200000001</v>
      </c>
      <c r="E35" s="269">
        <f t="shared" si="4"/>
        <v>136134.25200000001</v>
      </c>
      <c r="F35" s="269">
        <f t="shared" si="4"/>
        <v>136134.25200000001</v>
      </c>
      <c r="G35" s="269">
        <f t="shared" si="4"/>
        <v>123574.97399999999</v>
      </c>
      <c r="H35" s="269">
        <f t="shared" si="4"/>
        <v>108503.63905</v>
      </c>
      <c r="I35" s="269">
        <f t="shared" ref="I35:I39" si="5">+F35-H35</f>
        <v>27630.61295000001</v>
      </c>
      <c r="J35" s="295">
        <f t="shared" si="0"/>
        <v>87.803893893596936</v>
      </c>
      <c r="K35" s="114"/>
    </row>
    <row r="36" spans="1:11" ht="20.25" customHeight="1">
      <c r="A36" s="274" t="s">
        <v>151</v>
      </c>
      <c r="B36" s="273">
        <f>(+FUNCIONAMIENTO!C11)/1000</f>
        <v>125299.72900000001</v>
      </c>
      <c r="C36" s="273"/>
      <c r="D36" s="273">
        <f>(+FUNCIONAMIENTO!F11)/1000</f>
        <v>122382.084</v>
      </c>
      <c r="E36" s="273">
        <f>(+FUNCIONAMIENTO!F11)/1000</f>
        <v>122382.084</v>
      </c>
      <c r="F36" s="273">
        <f>(+FUNCIONAMIENTO!F11)/1000</f>
        <v>122382.084</v>
      </c>
      <c r="G36" s="273">
        <f>(+FUNCIONAMIENTO!G11)/1000</f>
        <v>109822.806</v>
      </c>
      <c r="H36" s="273">
        <f>(+FUNCIONAMIENTO!I11)/1000</f>
        <v>98155.855439999999</v>
      </c>
      <c r="I36" s="273">
        <f t="shared" si="5"/>
        <v>24226.228560000003</v>
      </c>
      <c r="J36" s="297">
        <f t="shared" si="0"/>
        <v>89.37656850618076</v>
      </c>
      <c r="K36" s="114"/>
    </row>
    <row r="37" spans="1:11" ht="17.25" customHeight="1">
      <c r="A37" s="274" t="s">
        <v>152</v>
      </c>
      <c r="B37" s="273">
        <f>(+FUNCIONAMIENTO!C36)/1000</f>
        <v>7293.0079999999998</v>
      </c>
      <c r="C37" s="273"/>
      <c r="D37" s="273">
        <f>(+FUNCIONAMIENTO!F36)/1000</f>
        <v>7406.5230000000001</v>
      </c>
      <c r="E37" s="273">
        <f>(+FUNCIONAMIENTO!F36)/1000</f>
        <v>7406.5230000000001</v>
      </c>
      <c r="F37" s="273">
        <f>(+FUNCIONAMIENTO!F36)/1000</f>
        <v>7406.5230000000001</v>
      </c>
      <c r="G37" s="273">
        <f>(+FUNCIONAMIENTO!G36)/1000</f>
        <v>7406.5230000000001</v>
      </c>
      <c r="H37" s="273">
        <f>(+FUNCIONAMIENTO!I36)/1000</f>
        <v>5741.023369999999</v>
      </c>
      <c r="I37" s="273">
        <f t="shared" si="5"/>
        <v>1665.4996300000012</v>
      </c>
      <c r="J37" s="297">
        <f t="shared" si="0"/>
        <v>77.513070168012703</v>
      </c>
      <c r="K37" s="114"/>
    </row>
    <row r="38" spans="1:11" ht="15.75" customHeight="1">
      <c r="A38" s="274" t="s">
        <v>153</v>
      </c>
      <c r="B38" s="273">
        <f>(+FUNCIONAMIENTO!C91)/1000</f>
        <v>3042.5610000000001</v>
      </c>
      <c r="C38" s="273"/>
      <c r="D38" s="273">
        <f>(+FUNCIONAMIENTO!F91)/1000</f>
        <v>4050.605</v>
      </c>
      <c r="E38" s="273">
        <f>(+FUNCIONAMIENTO!F91)/1000</f>
        <v>4050.605</v>
      </c>
      <c r="F38" s="273">
        <f>(+FUNCIONAMIENTO!F91)/1000</f>
        <v>4050.605</v>
      </c>
      <c r="G38" s="273">
        <f>(+FUNCIONAMIENTO!G91)/1000</f>
        <v>4050.605</v>
      </c>
      <c r="H38" s="273">
        <f>(+FUNCIONAMIENTO!I91)/1000</f>
        <v>3079.8908099999999</v>
      </c>
      <c r="I38" s="273">
        <f t="shared" si="5"/>
        <v>970.71419000000014</v>
      </c>
      <c r="J38" s="297">
        <f t="shared" si="0"/>
        <v>76.035328302809077</v>
      </c>
      <c r="K38" s="114"/>
    </row>
    <row r="39" spans="1:11" ht="17.25" customHeight="1">
      <c r="A39" s="274" t="s">
        <v>154</v>
      </c>
      <c r="B39" s="273">
        <f>(+FUNCIONAMIENTO!C151)/1000</f>
        <v>3207.9140000000002</v>
      </c>
      <c r="C39" s="273"/>
      <c r="D39" s="273">
        <f>(+FUNCIONAMIENTO!F151)/1000</f>
        <v>2295.04</v>
      </c>
      <c r="E39" s="273">
        <f>(+FUNCIONAMIENTO!F151)/1000</f>
        <v>2295.04</v>
      </c>
      <c r="F39" s="273">
        <f>(+FUNCIONAMIENTO!F151)/1000</f>
        <v>2295.04</v>
      </c>
      <c r="G39" s="273">
        <f>(+FUNCIONAMIENTO!G151)/1000</f>
        <v>2295.04</v>
      </c>
      <c r="H39" s="273">
        <f>(+FUNCIONAMIENTO!I151)/1000</f>
        <v>1526.86943</v>
      </c>
      <c r="I39" s="273">
        <f t="shared" si="5"/>
        <v>768.17057</v>
      </c>
      <c r="J39" s="297">
        <f t="shared" si="0"/>
        <v>66.529098839235914</v>
      </c>
      <c r="K39" s="114"/>
    </row>
    <row r="40" spans="1:11" ht="9" customHeight="1">
      <c r="A40" s="274" t="s">
        <v>12</v>
      </c>
      <c r="B40" s="277"/>
      <c r="C40" s="277"/>
      <c r="D40" s="277"/>
      <c r="E40" s="273">
        <v>0</v>
      </c>
      <c r="F40" s="273">
        <v>0</v>
      </c>
      <c r="G40" s="273" t="s">
        <v>12</v>
      </c>
      <c r="H40" s="273" t="s">
        <v>12</v>
      </c>
      <c r="I40" s="273"/>
      <c r="J40" s="297" t="s">
        <v>12</v>
      </c>
    </row>
    <row r="41" spans="1:11" ht="15" customHeight="1">
      <c r="A41" s="267" t="s">
        <v>155</v>
      </c>
      <c r="B41" s="269">
        <f>(+FUNCIONAMIENTO!C156)/1000</f>
        <v>2251.5940000000001</v>
      </c>
      <c r="C41" s="269"/>
      <c r="D41" s="269">
        <f>(+FUNCIONAMIENTO!F156)/1000</f>
        <v>4323.4409999999998</v>
      </c>
      <c r="E41" s="269">
        <f>(+FUNCIONAMIENTO!F156)/1000</f>
        <v>4323.4409999999998</v>
      </c>
      <c r="F41" s="269">
        <f>(+FUNCIONAMIENTO!F156)/1000</f>
        <v>4323.4409999999998</v>
      </c>
      <c r="G41" s="269">
        <f>(+FUNCIONAMIENTO!G156)/1000</f>
        <v>4313.5940000000001</v>
      </c>
      <c r="H41" s="269">
        <f>(+FUNCIONAMIENTO!I156)/1000</f>
        <v>2330.6546899999998</v>
      </c>
      <c r="I41" s="269">
        <f>+F41-H41</f>
        <v>1992.78631</v>
      </c>
      <c r="J41" s="295">
        <f t="shared" si="0"/>
        <v>54.030460214846364</v>
      </c>
    </row>
    <row r="42" spans="1:11" ht="8.25" customHeight="1">
      <c r="A42" s="274"/>
      <c r="B42" s="277"/>
      <c r="C42" s="277"/>
      <c r="D42" s="277"/>
      <c r="E42" s="273"/>
      <c r="F42" s="273"/>
      <c r="G42" s="273"/>
      <c r="H42" s="273"/>
      <c r="I42" s="273"/>
      <c r="J42" s="297" t="s">
        <v>12</v>
      </c>
    </row>
    <row r="43" spans="1:11" ht="15" customHeight="1">
      <c r="A43" s="267" t="s">
        <v>57</v>
      </c>
      <c r="B43" s="269">
        <f t="shared" ref="B43:H43" si="6">SUM(B45)</f>
        <v>56905.194000000003</v>
      </c>
      <c r="C43" s="269"/>
      <c r="D43" s="269">
        <f t="shared" si="6"/>
        <v>26708.940999999999</v>
      </c>
      <c r="E43" s="269">
        <f t="shared" si="6"/>
        <v>26708.940999999999</v>
      </c>
      <c r="F43" s="269" t="e">
        <f t="shared" si="6"/>
        <v>#REF!</v>
      </c>
      <c r="G43" s="269">
        <f t="shared" si="6"/>
        <v>26708.940999999999</v>
      </c>
      <c r="H43" s="269">
        <f t="shared" si="6"/>
        <v>24360.868960000003</v>
      </c>
      <c r="I43" s="269" t="e">
        <f>+F43-H43</f>
        <v>#REF!</v>
      </c>
      <c r="J43" s="295">
        <f t="shared" si="0"/>
        <v>91.208666640882569</v>
      </c>
      <c r="K43" t="s">
        <v>12</v>
      </c>
    </row>
    <row r="44" spans="1:11" ht="15" customHeight="1">
      <c r="A44" s="274"/>
      <c r="B44" s="277"/>
      <c r="C44" s="277"/>
      <c r="D44" s="277"/>
      <c r="E44" s="273"/>
      <c r="F44" s="273"/>
      <c r="G44" s="273"/>
      <c r="H44" s="273"/>
      <c r="I44" s="273"/>
      <c r="J44" s="297" t="s">
        <v>12</v>
      </c>
    </row>
    <row r="45" spans="1:11" ht="15" customHeight="1">
      <c r="A45" s="274" t="s">
        <v>156</v>
      </c>
      <c r="B45" s="273">
        <f>+(PROYECTOS!B42)/1000</f>
        <v>56905.194000000003</v>
      </c>
      <c r="C45" s="273"/>
      <c r="D45" s="273">
        <f>+(PROYECTOS!E42)/1000</f>
        <v>26708.940999999999</v>
      </c>
      <c r="E45" s="273">
        <f>+(PROYECTOS!E42)/1000</f>
        <v>26708.940999999999</v>
      </c>
      <c r="F45" s="273" t="e">
        <f>+(#REF!)/1000</f>
        <v>#REF!</v>
      </c>
      <c r="G45" s="273">
        <f>+(PROYECTOS!F42)/1000</f>
        <v>26708.940999999999</v>
      </c>
      <c r="H45" s="273">
        <f>+(PROYECTOS!H42)/1000</f>
        <v>24360.868960000003</v>
      </c>
      <c r="I45" s="273" t="e">
        <f>+F45-H45</f>
        <v>#REF!</v>
      </c>
      <c r="J45" s="297">
        <f t="shared" si="0"/>
        <v>91.208666640882569</v>
      </c>
    </row>
    <row r="46" spans="1:11" ht="14.25" customHeight="1">
      <c r="A46" s="274" t="s">
        <v>157</v>
      </c>
      <c r="B46" s="277"/>
      <c r="C46" s="277"/>
      <c r="D46" s="273">
        <f>+(PROYECTOS!B43)/1000</f>
        <v>0</v>
      </c>
      <c r="E46" s="273">
        <v>0</v>
      </c>
      <c r="F46" s="273">
        <v>0</v>
      </c>
      <c r="G46" s="273">
        <v>0</v>
      </c>
      <c r="H46" s="273">
        <v>0</v>
      </c>
      <c r="I46" s="273">
        <f>+F46-H46</f>
        <v>0</v>
      </c>
      <c r="J46" s="297" t="s">
        <v>12</v>
      </c>
    </row>
    <row r="47" spans="1:11" ht="15" customHeight="1">
      <c r="A47" s="274" t="s">
        <v>158</v>
      </c>
      <c r="B47" s="277"/>
      <c r="C47" s="277"/>
      <c r="D47" s="273">
        <f>+(PROYECTOS!B44)/1000</f>
        <v>0</v>
      </c>
      <c r="E47" s="273" t="s">
        <v>12</v>
      </c>
      <c r="F47" s="273" t="s">
        <v>12</v>
      </c>
      <c r="G47" s="273" t="s">
        <v>12</v>
      </c>
      <c r="H47" s="273" t="s">
        <v>12</v>
      </c>
      <c r="I47" s="273" t="s">
        <v>12</v>
      </c>
      <c r="J47" s="297" t="s">
        <v>12</v>
      </c>
    </row>
    <row r="48" spans="1:11" ht="15" customHeight="1">
      <c r="A48" s="274" t="s">
        <v>159</v>
      </c>
      <c r="B48" s="277"/>
      <c r="C48" s="277"/>
      <c r="D48" s="277"/>
      <c r="E48" s="273">
        <v>0</v>
      </c>
      <c r="F48" s="273">
        <v>0</v>
      </c>
      <c r="G48" s="273">
        <v>0</v>
      </c>
      <c r="H48" s="273">
        <v>0</v>
      </c>
      <c r="I48" s="273">
        <f>+F48-H48</f>
        <v>0</v>
      </c>
      <c r="J48" s="297" t="s">
        <v>12</v>
      </c>
    </row>
    <row r="49" spans="1:10" ht="8.25" customHeight="1">
      <c r="A49" s="274"/>
      <c r="B49" s="277"/>
      <c r="C49" s="277"/>
      <c r="D49" s="277"/>
      <c r="E49" s="273"/>
      <c r="F49" s="273"/>
      <c r="G49" s="273"/>
      <c r="H49" s="273"/>
      <c r="I49" s="273"/>
      <c r="J49" s="297" t="s">
        <v>12</v>
      </c>
    </row>
    <row r="50" spans="1:10" ht="18" customHeight="1">
      <c r="A50" s="267" t="s">
        <v>160</v>
      </c>
      <c r="B50" s="269">
        <f t="shared" ref="B50:I50" si="7">+B33+B43</f>
        <v>198000</v>
      </c>
      <c r="C50" s="269"/>
      <c r="D50" s="269">
        <f t="shared" si="7"/>
        <v>167166.63399999999</v>
      </c>
      <c r="E50" s="269" t="e">
        <f t="shared" si="7"/>
        <v>#REF!</v>
      </c>
      <c r="F50" s="269" t="e">
        <f t="shared" si="7"/>
        <v>#REF!</v>
      </c>
      <c r="G50" s="269">
        <f t="shared" si="7"/>
        <v>154597.50899999999</v>
      </c>
      <c r="H50" s="269">
        <f t="shared" si="7"/>
        <v>135195.16269999999</v>
      </c>
      <c r="I50" s="269" t="e">
        <f t="shared" si="7"/>
        <v>#REF!</v>
      </c>
      <c r="J50" s="295">
        <f t="shared" si="0"/>
        <v>87.449767835521854</v>
      </c>
    </row>
    <row r="51" spans="1:10" ht="9" customHeight="1">
      <c r="A51" s="274"/>
      <c r="B51" s="274"/>
      <c r="C51" s="274"/>
      <c r="D51" s="277"/>
      <c r="E51" s="273"/>
      <c r="F51" s="273"/>
      <c r="G51" s="273"/>
      <c r="H51" s="273"/>
      <c r="I51" s="273"/>
      <c r="J51" s="297" t="s">
        <v>12</v>
      </c>
    </row>
    <row r="52" spans="1:10" ht="21.75" customHeight="1">
      <c r="A52" s="279" t="s">
        <v>58</v>
      </c>
      <c r="B52" s="279"/>
      <c r="C52" s="279"/>
      <c r="D52" s="280"/>
      <c r="E52" s="281" t="s">
        <v>12</v>
      </c>
      <c r="F52" s="281" t="e">
        <f>F29-F50</f>
        <v>#REF!</v>
      </c>
      <c r="G52" s="282" t="s">
        <v>12</v>
      </c>
      <c r="H52" s="283">
        <f>H29-H50</f>
        <v>-38729.636469999983</v>
      </c>
      <c r="I52" s="282" t="s">
        <v>12</v>
      </c>
      <c r="J52" s="298" t="s">
        <v>12</v>
      </c>
    </row>
    <row r="53" spans="1:10" ht="15" customHeight="1">
      <c r="A53" s="284"/>
      <c r="B53" s="6"/>
      <c r="C53" s="6"/>
      <c r="D53" s="6"/>
      <c r="E53" s="284"/>
      <c r="F53" s="285"/>
      <c r="G53" s="285"/>
      <c r="H53" s="285"/>
      <c r="I53" s="286"/>
      <c r="J53" s="299"/>
    </row>
    <row r="54" spans="1:10" ht="15" customHeight="1">
      <c r="A54" s="672" t="s">
        <v>41</v>
      </c>
      <c r="B54" s="672"/>
      <c r="C54" s="104"/>
      <c r="D54" s="148"/>
      <c r="E54" s="148"/>
      <c r="F54" s="6"/>
      <c r="G54" s="6" t="s">
        <v>12</v>
      </c>
      <c r="H54" s="6"/>
      <c r="I54" s="287"/>
      <c r="J54" s="3"/>
    </row>
    <row r="55" spans="1:10" ht="15" customHeight="1">
      <c r="A55" s="4" t="s">
        <v>12</v>
      </c>
      <c r="I55" s="288"/>
      <c r="J55" s="252"/>
    </row>
    <row r="56" spans="1:10" ht="15" customHeight="1">
      <c r="G56" s="289" t="s">
        <v>12</v>
      </c>
      <c r="H56" s="289"/>
      <c r="I56" s="288"/>
      <c r="J56" s="252"/>
    </row>
    <row r="57" spans="1:10" ht="15" customHeight="1">
      <c r="A57" s="290"/>
      <c r="B57" s="290"/>
      <c r="C57" s="290"/>
      <c r="D57" s="290"/>
      <c r="E57" s="290"/>
      <c r="F57" s="291"/>
      <c r="G57" s="291"/>
      <c r="H57" s="291" t="s">
        <v>12</v>
      </c>
      <c r="I57" s="288"/>
      <c r="J57" s="252"/>
    </row>
    <row r="58" spans="1:10" ht="15" customHeight="1">
      <c r="A58" s="290"/>
      <c r="B58" s="290"/>
      <c r="C58" s="290"/>
      <c r="D58" s="290"/>
      <c r="E58" s="290"/>
      <c r="F58" s="291"/>
      <c r="G58" s="291"/>
      <c r="H58" s="291"/>
      <c r="I58" s="288"/>
      <c r="J58" s="252"/>
    </row>
    <row r="59" spans="1:10" ht="15" customHeight="1">
      <c r="A59" s="290"/>
      <c r="B59" s="290"/>
      <c r="C59" s="290"/>
      <c r="D59" s="290"/>
      <c r="E59" s="290"/>
      <c r="F59" s="291"/>
      <c r="G59" s="291"/>
      <c r="H59" s="291"/>
      <c r="I59" s="288"/>
      <c r="J59" s="252"/>
    </row>
    <row r="60" spans="1:10" ht="15" customHeight="1">
      <c r="A60" s="242"/>
      <c r="B60" s="242"/>
      <c r="C60" s="242"/>
      <c r="D60" s="242"/>
      <c r="E60" s="242"/>
      <c r="F60" s="242"/>
      <c r="G60" s="242"/>
      <c r="I60" s="288"/>
      <c r="J60" s="252"/>
    </row>
    <row r="61" spans="1:10" ht="15" customHeight="1">
      <c r="A61" s="242"/>
      <c r="B61" s="242"/>
      <c r="C61" s="242"/>
      <c r="D61" s="242"/>
      <c r="E61" s="242"/>
      <c r="F61" s="242"/>
      <c r="G61" s="242"/>
      <c r="J61" s="252"/>
    </row>
    <row r="62" spans="1:10" ht="15" customHeight="1">
      <c r="A62" s="242"/>
      <c r="B62" s="242"/>
      <c r="C62" s="242"/>
      <c r="D62" s="242"/>
      <c r="E62" s="242"/>
      <c r="J62" s="252"/>
    </row>
    <row r="63" spans="1:10">
      <c r="A63" s="242"/>
      <c r="B63" s="242"/>
      <c r="C63" s="242"/>
      <c r="D63" s="242"/>
      <c r="E63" s="242"/>
      <c r="J63" s="252"/>
    </row>
    <row r="64" spans="1:10">
      <c r="A64" s="242"/>
      <c r="B64" s="242"/>
      <c r="C64" s="242"/>
      <c r="D64" s="242"/>
      <c r="E64" s="242"/>
      <c r="J64" s="252"/>
    </row>
    <row r="65" spans="1:10">
      <c r="A65" s="242"/>
      <c r="B65" s="242"/>
      <c r="C65" s="242"/>
      <c r="D65" s="242"/>
      <c r="E65" s="242"/>
      <c r="J65" s="252"/>
    </row>
    <row r="66" spans="1:10" ht="15">
      <c r="A66" s="242"/>
      <c r="B66" s="242"/>
      <c r="C66" s="242"/>
      <c r="D66" s="242"/>
      <c r="E66" s="242"/>
      <c r="F66" s="10"/>
      <c r="G66" s="10"/>
      <c r="H66" s="10"/>
      <c r="I66" s="300"/>
      <c r="J66" s="252"/>
    </row>
    <row r="67" spans="1:10" ht="15">
      <c r="A67" s="242"/>
      <c r="B67" s="242"/>
      <c r="C67" s="242"/>
      <c r="D67" s="242"/>
      <c r="E67" s="242"/>
      <c r="F67" s="10"/>
      <c r="G67" s="10"/>
      <c r="H67" s="10"/>
      <c r="I67" s="300"/>
      <c r="J67" s="252"/>
    </row>
    <row r="68" spans="1:10">
      <c r="A68" s="242"/>
      <c r="B68" s="242"/>
      <c r="C68" s="242"/>
      <c r="D68" s="242"/>
      <c r="E68" s="242"/>
      <c r="J68" s="252"/>
    </row>
    <row r="69" spans="1:10">
      <c r="J69" s="252"/>
    </row>
    <row r="70" spans="1:10">
      <c r="J70" s="252"/>
    </row>
    <row r="71" spans="1:10">
      <c r="J71" s="252"/>
    </row>
    <row r="72" spans="1:10">
      <c r="J72" s="252"/>
    </row>
    <row r="73" spans="1:10">
      <c r="J73" s="252"/>
    </row>
    <row r="74" spans="1:10">
      <c r="J74" s="252"/>
    </row>
    <row r="75" spans="1:10">
      <c r="J75" s="252"/>
    </row>
    <row r="76" spans="1:10">
      <c r="J76" s="252"/>
    </row>
    <row r="77" spans="1:10">
      <c r="J77" s="252"/>
    </row>
    <row r="78" spans="1:10">
      <c r="J78" s="252"/>
    </row>
    <row r="79" spans="1:10">
      <c r="J79" s="252"/>
    </row>
    <row r="80" spans="1:10">
      <c r="J80" s="252"/>
    </row>
    <row r="81" spans="10:10">
      <c r="J81" s="252"/>
    </row>
    <row r="82" spans="10:10">
      <c r="J82" s="252"/>
    </row>
    <row r="83" spans="10:10">
      <c r="J83" s="252"/>
    </row>
    <row r="84" spans="10:10">
      <c r="J84" s="252"/>
    </row>
    <row r="85" spans="10:10">
      <c r="J85" s="252"/>
    </row>
    <row r="86" spans="10:10">
      <c r="J86" s="252"/>
    </row>
    <row r="87" spans="10:10">
      <c r="J87" s="252"/>
    </row>
    <row r="88" spans="10:10">
      <c r="J88" s="252"/>
    </row>
  </sheetData>
  <mergeCells count="8">
    <mergeCell ref="A54:B54"/>
    <mergeCell ref="A7:A8"/>
    <mergeCell ref="J7:J8"/>
    <mergeCell ref="A1:J1"/>
    <mergeCell ref="A2:J2"/>
    <mergeCell ref="A3:J3"/>
    <mergeCell ref="A4:J4"/>
    <mergeCell ref="B7:H7"/>
  </mergeCells>
  <pageMargins left="1.14173228346457" right="0.86614173228346403" top="0.66929133858267698" bottom="0.59055118110236204" header="0.511811023622047" footer="0.511811023622047"/>
  <pageSetup paperSize="5" scale="85" firstPageNumber="0" orientation="portrait" useFirstPageNumber="1" r:id="rId1"/>
  <headerFooter alignWithMargins="0"/>
  <ignoredErrors>
    <ignoredError sqref="C12:D12 C15 C25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theme="6" tint="-0.249977111117893"/>
  </sheetPr>
  <dimension ref="A1:R179"/>
  <sheetViews>
    <sheetView showGridLines="0" showZeros="0" workbookViewId="0">
      <selection activeCell="F1" sqref="A1:L51"/>
    </sheetView>
  </sheetViews>
  <sheetFormatPr baseColWidth="10" defaultColWidth="11.42578125" defaultRowHeight="12.75"/>
  <cols>
    <col min="1" max="1" width="35.28515625" style="4" customWidth="1"/>
    <col min="2" max="2" width="12.42578125" style="4" customWidth="1"/>
    <col min="3" max="3" width="13.140625" style="4" hidden="1" customWidth="1"/>
    <col min="4" max="4" width="13.5703125" style="4" customWidth="1"/>
    <col min="5" max="5" width="12.140625" style="4" customWidth="1"/>
    <col min="6" max="6" width="14.85546875" style="4" customWidth="1"/>
    <col min="7" max="7" width="15" style="4" customWidth="1"/>
    <col min="8" max="8" width="12.28515625" style="4" customWidth="1"/>
    <col min="9" max="9" width="15.42578125" style="4" customWidth="1"/>
    <col min="10" max="10" width="12.42578125" style="4" customWidth="1"/>
    <col min="11" max="11" width="1.140625" style="4" hidden="1" customWidth="1"/>
    <col min="12" max="12" width="13.140625" style="4" customWidth="1"/>
    <col min="13" max="13" width="18" hidden="1" customWidth="1"/>
    <col min="14" max="14" width="13.5703125" customWidth="1"/>
  </cols>
  <sheetData>
    <row r="1" spans="1:15" ht="12" customHeight="1">
      <c r="A1" s="217"/>
      <c r="B1" s="217"/>
      <c r="C1" s="217"/>
      <c r="D1" s="217"/>
      <c r="E1" s="218"/>
      <c r="F1" s="218"/>
      <c r="G1" s="219"/>
      <c r="H1" s="219"/>
      <c r="I1" s="219"/>
      <c r="J1" s="219"/>
      <c r="K1" s="219"/>
      <c r="L1" s="219"/>
    </row>
    <row r="2" spans="1:15" ht="18" customHeight="1">
      <c r="A2" s="677" t="s">
        <v>59</v>
      </c>
      <c r="B2" s="677"/>
      <c r="C2" s="677"/>
      <c r="D2" s="677"/>
      <c r="E2" s="677"/>
      <c r="F2" s="677"/>
      <c r="G2" s="677"/>
      <c r="H2" s="677"/>
      <c r="I2" s="677"/>
      <c r="J2" s="677"/>
      <c r="K2" s="677"/>
      <c r="L2" s="677"/>
    </row>
    <row r="3" spans="1:15" ht="15.75" customHeight="1">
      <c r="A3" s="677" t="s">
        <v>60</v>
      </c>
      <c r="B3" s="677"/>
      <c r="C3" s="677"/>
      <c r="D3" s="677"/>
      <c r="E3" s="677"/>
      <c r="F3" s="677"/>
      <c r="G3" s="677"/>
      <c r="H3" s="677"/>
      <c r="I3" s="677"/>
      <c r="J3" s="677"/>
      <c r="K3" s="677"/>
      <c r="L3" s="677"/>
    </row>
    <row r="4" spans="1:15" ht="15">
      <c r="A4" s="678" t="s">
        <v>161</v>
      </c>
      <c r="B4" s="678"/>
      <c r="C4" s="678"/>
      <c r="D4" s="678"/>
      <c r="E4" s="678"/>
      <c r="F4" s="678"/>
      <c r="G4" s="678"/>
      <c r="H4" s="678"/>
      <c r="I4" s="678"/>
      <c r="J4" s="678"/>
      <c r="K4" s="678"/>
      <c r="L4" s="678"/>
    </row>
    <row r="5" spans="1:15" ht="15">
      <c r="A5" s="678" t="s">
        <v>538</v>
      </c>
      <c r="B5" s="678"/>
      <c r="C5" s="678"/>
      <c r="D5" s="678"/>
      <c r="E5" s="678"/>
      <c r="F5" s="678"/>
      <c r="G5" s="678"/>
      <c r="H5" s="678"/>
      <c r="I5" s="678"/>
      <c r="J5" s="678"/>
      <c r="K5" s="678"/>
      <c r="L5" s="678"/>
    </row>
    <row r="6" spans="1:1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 t="s">
        <v>12</v>
      </c>
      <c r="M6" t="s">
        <v>12</v>
      </c>
    </row>
    <row r="7" spans="1:15" ht="20.100000000000001" customHeight="1">
      <c r="A7" s="718" t="s">
        <v>0</v>
      </c>
      <c r="B7" s="723" t="s">
        <v>162</v>
      </c>
      <c r="C7" s="724"/>
      <c r="D7" s="724"/>
      <c r="E7" s="724"/>
      <c r="F7" s="724"/>
      <c r="G7" s="724"/>
      <c r="H7" s="724"/>
      <c r="I7" s="725"/>
      <c r="J7" s="720" t="s">
        <v>42</v>
      </c>
      <c r="K7" s="718"/>
      <c r="L7" s="720" t="s">
        <v>43</v>
      </c>
      <c r="M7" t="s">
        <v>12</v>
      </c>
    </row>
    <row r="8" spans="1:15" ht="31.5" customHeight="1">
      <c r="A8" s="719"/>
      <c r="B8" s="67" t="s">
        <v>2</v>
      </c>
      <c r="C8" s="67" t="s">
        <v>529</v>
      </c>
      <c r="D8" s="67" t="s">
        <v>3</v>
      </c>
      <c r="E8" s="71" t="s">
        <v>25</v>
      </c>
      <c r="F8" s="220" t="s">
        <v>65</v>
      </c>
      <c r="G8" s="221" t="s">
        <v>44</v>
      </c>
      <c r="H8" s="222" t="s">
        <v>48</v>
      </c>
      <c r="I8" s="222" t="s">
        <v>45</v>
      </c>
      <c r="J8" s="721"/>
      <c r="K8" s="722"/>
      <c r="L8" s="721"/>
      <c r="M8" t="s">
        <v>66</v>
      </c>
      <c r="N8" t="s">
        <v>12</v>
      </c>
    </row>
    <row r="9" spans="1:15" ht="24.75" customHeight="1">
      <c r="A9" s="223" t="s">
        <v>163</v>
      </c>
      <c r="B9" s="224">
        <f>+B11+B36</f>
        <v>198000000</v>
      </c>
      <c r="C9" s="577">
        <f>+C11+C39</f>
        <v>-30709478.509999998</v>
      </c>
      <c r="D9" s="225">
        <f>+D11+D36</f>
        <v>167166634</v>
      </c>
      <c r="E9" s="225">
        <f>++E11+E36</f>
        <v>154597509</v>
      </c>
      <c r="F9" s="225">
        <f>+F11+F36</f>
        <v>10458971.6</v>
      </c>
      <c r="G9" s="225">
        <f>+G11+G36-1</f>
        <v>135195161.70000002</v>
      </c>
      <c r="H9" s="225">
        <f>+H11+H36+1</f>
        <v>108789901.63000003</v>
      </c>
      <c r="I9" s="225">
        <f>++I11+I36</f>
        <v>112415952.91999999</v>
      </c>
      <c r="J9" s="225">
        <f>+E9-G9</f>
        <v>19402347.299999982</v>
      </c>
      <c r="K9" s="225" t="e">
        <f>+#REF!-G9</f>
        <v>#REF!</v>
      </c>
      <c r="L9" s="244">
        <f>+G9/E9*100</f>
        <v>87.449767188680909</v>
      </c>
      <c r="M9">
        <v>84817701.783999994</v>
      </c>
    </row>
    <row r="10" spans="1:15" ht="11.1" customHeight="1">
      <c r="A10" s="223"/>
      <c r="B10" s="224"/>
      <c r="C10" s="224"/>
      <c r="D10" s="225"/>
      <c r="E10" s="225"/>
      <c r="F10" s="225"/>
      <c r="G10" s="225" t="s">
        <v>12</v>
      </c>
      <c r="H10" s="225"/>
      <c r="I10" s="225" t="s">
        <v>12</v>
      </c>
      <c r="J10" s="225" t="s">
        <v>12</v>
      </c>
      <c r="K10" s="225" t="s">
        <v>12</v>
      </c>
      <c r="L10" s="244" t="s">
        <v>12</v>
      </c>
      <c r="M10" t="s">
        <v>12</v>
      </c>
    </row>
    <row r="11" spans="1:15" ht="15">
      <c r="A11" s="223" t="s">
        <v>164</v>
      </c>
      <c r="B11" s="224">
        <f>+B13+B20+B34</f>
        <v>141094806</v>
      </c>
      <c r="C11" s="577">
        <f>+C13</f>
        <v>-637113</v>
      </c>
      <c r="D11" s="225">
        <f>+D13+D20+D34</f>
        <v>140457693</v>
      </c>
      <c r="E11" s="226">
        <f>+E13+E20</f>
        <v>127888568</v>
      </c>
      <c r="F11" s="226">
        <f>+F20+F13</f>
        <v>10431178.01</v>
      </c>
      <c r="G11" s="226">
        <f>+G20+G13+1</f>
        <v>110834293.74000001</v>
      </c>
      <c r="H11" s="226">
        <f>+H20+H13</f>
        <v>96135535.76000002</v>
      </c>
      <c r="I11" s="226">
        <f>+I20+I13+I34+1</f>
        <v>104430742.74999999</v>
      </c>
      <c r="J11" s="226">
        <f>+E11-G11</f>
        <v>17054274.25999999</v>
      </c>
      <c r="K11" s="226" t="e">
        <f>+#REF!-G11</f>
        <v>#REF!</v>
      </c>
      <c r="L11" s="245">
        <f>+G11/E11*100</f>
        <v>86.664739056269681</v>
      </c>
      <c r="M11">
        <v>71948551.653999999</v>
      </c>
      <c r="O11" t="s">
        <v>12</v>
      </c>
    </row>
    <row r="12" spans="1:15" ht="10.35" customHeight="1">
      <c r="A12" s="223"/>
      <c r="B12" s="224"/>
      <c r="C12" s="224"/>
      <c r="D12" s="225"/>
      <c r="E12" s="225"/>
      <c r="F12" s="225"/>
      <c r="G12" s="225" t="s">
        <v>12</v>
      </c>
      <c r="H12" s="225"/>
      <c r="I12" s="225"/>
      <c r="J12" s="225"/>
      <c r="K12" s="225" t="s">
        <v>12</v>
      </c>
      <c r="L12" s="244"/>
      <c r="M12" t="s">
        <v>12</v>
      </c>
    </row>
    <row r="13" spans="1:15" ht="18" customHeight="1">
      <c r="A13" s="223" t="s">
        <v>165</v>
      </c>
      <c r="B13" s="224">
        <f t="shared" ref="B13:H13" si="0">SUM(B15:B18)</f>
        <v>138843212</v>
      </c>
      <c r="C13" s="577">
        <f>SUM(C16:C17)</f>
        <v>-637113</v>
      </c>
      <c r="D13" s="225">
        <f t="shared" si="0"/>
        <v>136134252</v>
      </c>
      <c r="E13" s="225">
        <f t="shared" si="0"/>
        <v>123574974</v>
      </c>
      <c r="F13" s="225">
        <f t="shared" si="0"/>
        <v>10314268.879999999</v>
      </c>
      <c r="G13" s="225">
        <f>SUM(G15:G18)</f>
        <v>108503639.05000001</v>
      </c>
      <c r="H13" s="225">
        <f t="shared" si="0"/>
        <v>93903944.950000018</v>
      </c>
      <c r="I13" s="225">
        <f>SUM(I15:I18)-1</f>
        <v>102207926.26999998</v>
      </c>
      <c r="J13" s="225">
        <f>+E13-G13</f>
        <v>15071334.949999988</v>
      </c>
      <c r="K13" s="225" t="e">
        <f>+#REF!-G13</f>
        <v>#REF!</v>
      </c>
      <c r="L13" s="244">
        <f>+G13/E13*100</f>
        <v>87.803893893596936</v>
      </c>
      <c r="M13">
        <v>71049250.593999997</v>
      </c>
      <c r="N13" s="1" t="s">
        <v>12</v>
      </c>
    </row>
    <row r="14" spans="1:15" ht="11.1" customHeight="1">
      <c r="A14" s="223"/>
      <c r="B14" s="224"/>
      <c r="C14" s="224"/>
      <c r="D14" s="225"/>
      <c r="E14" s="225"/>
      <c r="F14" s="225"/>
      <c r="G14" s="225" t="s">
        <v>12</v>
      </c>
      <c r="H14" s="225"/>
      <c r="I14" s="225"/>
      <c r="J14" s="225"/>
      <c r="K14" s="225"/>
      <c r="L14" s="244"/>
      <c r="M14" t="s">
        <v>12</v>
      </c>
    </row>
    <row r="15" spans="1:15" ht="20.100000000000001" customHeight="1">
      <c r="A15" s="227" t="s">
        <v>166</v>
      </c>
      <c r="B15" s="228">
        <f>+FUNCIONAMIENTO!C11</f>
        <v>125299729</v>
      </c>
      <c r="C15" s="228"/>
      <c r="D15" s="228">
        <f>+FUNCIONAMIENTO!F11</f>
        <v>122382084</v>
      </c>
      <c r="E15" s="228">
        <f>+FUNCIONAMIENTO!G11</f>
        <v>109822806</v>
      </c>
      <c r="F15" s="228">
        <f>+FUNCIONAMIENTO!H11</f>
        <v>9639374.7200000007</v>
      </c>
      <c r="G15" s="228">
        <f>+FUNCIONAMIENTO!I11</f>
        <v>98155855.439999998</v>
      </c>
      <c r="H15" s="228">
        <f>+FUNCIONAMIENTO!J11</f>
        <v>85254978.310000002</v>
      </c>
      <c r="I15" s="228">
        <f>+FUNCIONAMIENTO!K11</f>
        <v>94728447.439999998</v>
      </c>
      <c r="J15" s="228">
        <f>+E15-G15</f>
        <v>11666950.560000002</v>
      </c>
      <c r="K15" s="228" t="e">
        <f>+#REF!-G15</f>
        <v>#REF!</v>
      </c>
      <c r="L15" s="246">
        <f>+G15/E15*100</f>
        <v>89.37656850618076</v>
      </c>
      <c r="M15">
        <v>67328817.609999999</v>
      </c>
    </row>
    <row r="16" spans="1:15" ht="20.100000000000001" customHeight="1">
      <c r="A16" s="227" t="s">
        <v>167</v>
      </c>
      <c r="B16" s="228">
        <f>+FUNCIONAMIENTO!C36</f>
        <v>7293008</v>
      </c>
      <c r="C16" s="576">
        <v>-99335</v>
      </c>
      <c r="D16" s="228">
        <f>+FUNCIONAMIENTO!F36</f>
        <v>7406523</v>
      </c>
      <c r="E16" s="228">
        <f>+FUNCIONAMIENTO!G36</f>
        <v>7406523</v>
      </c>
      <c r="F16" s="228">
        <f>+FUNCIONAMIENTO!H36</f>
        <v>442488.59</v>
      </c>
      <c r="G16" s="228">
        <f>+FUNCIONAMIENTO!I36</f>
        <v>5741023.3699999992</v>
      </c>
      <c r="H16" s="228">
        <f>+FUNCIONAMIENTO!J36</f>
        <v>5036395.9600000018</v>
      </c>
      <c r="I16" s="228">
        <f>+FUNCIONAMIENTO!K36</f>
        <v>4239355.49</v>
      </c>
      <c r="J16" s="228">
        <f>+E16-G16</f>
        <v>1665499.6300000008</v>
      </c>
      <c r="K16" s="228" t="e">
        <f>+#REF!-G16</f>
        <v>#REF!</v>
      </c>
      <c r="L16" s="246">
        <f>+G16/E16*100</f>
        <v>77.513070168012703</v>
      </c>
      <c r="M16">
        <v>2361674.91</v>
      </c>
    </row>
    <row r="17" spans="1:17" ht="20.100000000000001" customHeight="1">
      <c r="A17" s="227" t="s">
        <v>168</v>
      </c>
      <c r="B17" s="228">
        <f>+FUNCIONAMIENTO!C91</f>
        <v>3042561</v>
      </c>
      <c r="C17" s="576">
        <v>-537778</v>
      </c>
      <c r="D17" s="228">
        <f>+FUNCIONAMIENTO!F91</f>
        <v>4050605</v>
      </c>
      <c r="E17" s="228">
        <f>+FUNCIONAMIENTO!G91</f>
        <v>4050605</v>
      </c>
      <c r="F17" s="228">
        <f>+FUNCIONAMIENTO!H91</f>
        <v>138492.36999999997</v>
      </c>
      <c r="G17" s="228">
        <f>+FUNCIONAMIENTO!I91</f>
        <v>3079890.81</v>
      </c>
      <c r="H17" s="228">
        <f>+FUNCIONAMIENTO!J91</f>
        <v>2401228.1399999997</v>
      </c>
      <c r="I17" s="229">
        <f>+FUNCIONAMIENTO!K91</f>
        <v>2173540.71</v>
      </c>
      <c r="J17" s="228">
        <f>+E17-G17</f>
        <v>970714.19</v>
      </c>
      <c r="K17" s="228" t="e">
        <f>+#REF!-G17</f>
        <v>#REF!</v>
      </c>
      <c r="L17" s="246">
        <f>+G17/E17*100</f>
        <v>76.035328302809091</v>
      </c>
      <c r="M17">
        <v>1178096.594</v>
      </c>
      <c r="O17" t="s">
        <v>12</v>
      </c>
    </row>
    <row r="18" spans="1:17" ht="20.100000000000001" customHeight="1">
      <c r="A18" s="227" t="s">
        <v>169</v>
      </c>
      <c r="B18" s="228">
        <f>+FUNCIONAMIENTO!C151</f>
        <v>3207914</v>
      </c>
      <c r="C18" s="228"/>
      <c r="D18" s="228">
        <f>+FUNCIONAMIENTO!F151</f>
        <v>2295040</v>
      </c>
      <c r="E18" s="228">
        <f>+FUNCIONAMIENTO!G151</f>
        <v>2295040</v>
      </c>
      <c r="F18" s="228">
        <f>+FUNCIONAMIENTO!H151</f>
        <v>93913.2</v>
      </c>
      <c r="G18" s="228">
        <f>+FUNCIONAMIENTO!I151</f>
        <v>1526869.43</v>
      </c>
      <c r="H18" s="228">
        <f>+FUNCIONAMIENTO!J151</f>
        <v>1211342.54</v>
      </c>
      <c r="I18" s="228">
        <f>+FUNCIONAMIENTO!K151</f>
        <v>1066583.6299999999</v>
      </c>
      <c r="J18" s="228">
        <f>+E18-G18</f>
        <v>768170.57000000007</v>
      </c>
      <c r="K18" s="228" t="e">
        <f>+#REF!-G18</f>
        <v>#REF!</v>
      </c>
      <c r="L18" s="246">
        <f>+G18/E18*100</f>
        <v>66.529098839235914</v>
      </c>
      <c r="M18">
        <v>105848.37</v>
      </c>
    </row>
    <row r="19" spans="1:17" ht="9.75" customHeight="1">
      <c r="A19" s="223"/>
      <c r="B19" s="224"/>
      <c r="C19" s="224"/>
      <c r="D19" s="225"/>
      <c r="E19" s="225"/>
      <c r="F19" s="225" t="s">
        <v>12</v>
      </c>
      <c r="G19" s="225" t="s">
        <v>12</v>
      </c>
      <c r="H19" s="225" t="s">
        <v>12</v>
      </c>
      <c r="I19" s="225"/>
      <c r="J19" s="225"/>
      <c r="K19" s="225"/>
      <c r="L19" s="244" t="s">
        <v>12</v>
      </c>
      <c r="M19" t="s">
        <v>12</v>
      </c>
    </row>
    <row r="20" spans="1:17" ht="18" customHeight="1">
      <c r="A20" s="223" t="s">
        <v>170</v>
      </c>
      <c r="B20" s="225">
        <f>+FUNCIONAMIENTO!C156</f>
        <v>2251594</v>
      </c>
      <c r="C20" s="225"/>
      <c r="D20" s="225">
        <f>+FUNCIONAMIENTO!F156</f>
        <v>4323441</v>
      </c>
      <c r="E20" s="225">
        <f>+FUNCIONAMIENTO!G156</f>
        <v>4313594</v>
      </c>
      <c r="F20" s="225">
        <f>+FUNCIONAMIENTO!H156</f>
        <v>116909.12999999999</v>
      </c>
      <c r="G20" s="230">
        <f>+FUNCIONAMIENTO!I156-1</f>
        <v>2330653.69</v>
      </c>
      <c r="H20" s="225">
        <f>+FUNCIONAMIENTO!J156</f>
        <v>2231590.81</v>
      </c>
      <c r="I20" s="225">
        <f>+FUNCIONAMIENTO!K156</f>
        <v>2222815.48</v>
      </c>
      <c r="J20" s="225">
        <f>+E20-G20</f>
        <v>1982940.31</v>
      </c>
      <c r="K20" s="225" t="e">
        <f>+#REF!-G20</f>
        <v>#REF!</v>
      </c>
      <c r="L20" s="244">
        <f>+G20/E20*100</f>
        <v>54.030437032321544</v>
      </c>
      <c r="M20">
        <v>899301.06</v>
      </c>
      <c r="Q20" s="1" t="s">
        <v>12</v>
      </c>
    </row>
    <row r="21" spans="1:17" ht="12.75" customHeight="1">
      <c r="A21" s="223" t="s">
        <v>171</v>
      </c>
      <c r="B21" s="224"/>
      <c r="C21" s="224"/>
      <c r="D21" s="225"/>
      <c r="E21" s="225"/>
      <c r="F21" s="225" t="s">
        <v>12</v>
      </c>
      <c r="G21" s="225" t="s">
        <v>12</v>
      </c>
      <c r="H21" s="225" t="s">
        <v>12</v>
      </c>
      <c r="I21" s="225"/>
      <c r="J21" s="225"/>
      <c r="K21" s="225"/>
      <c r="L21" s="244" t="s">
        <v>12</v>
      </c>
      <c r="M21" t="s">
        <v>12</v>
      </c>
      <c r="Q21" s="9"/>
    </row>
    <row r="22" spans="1:17" ht="18" customHeight="1">
      <c r="A22" s="223" t="s">
        <v>172</v>
      </c>
      <c r="B22" s="224">
        <f>+B28</f>
        <v>1964594</v>
      </c>
      <c r="C22" s="224"/>
      <c r="D22" s="225">
        <f>SUM(D28)</f>
        <v>4188361</v>
      </c>
      <c r="E22" s="225">
        <f t="shared" ref="E22:G22" si="1">SUM(E28)</f>
        <v>4019248</v>
      </c>
      <c r="F22" s="225">
        <f t="shared" si="1"/>
        <v>116909.12999999999</v>
      </c>
      <c r="G22" s="225">
        <f t="shared" si="1"/>
        <v>2305230.48</v>
      </c>
      <c r="H22" s="225">
        <f t="shared" ref="H22" si="2">SUM(H28)</f>
        <v>2230690.81</v>
      </c>
      <c r="I22" s="225">
        <f>+I28</f>
        <v>2221914.48</v>
      </c>
      <c r="J22" s="225">
        <f>+E22-G22</f>
        <v>1714017.52</v>
      </c>
      <c r="K22" s="225" t="e">
        <f>+#REF!-G22</f>
        <v>#REF!</v>
      </c>
      <c r="L22" s="244">
        <f>+G22/E22*100</f>
        <v>57.354770842704909</v>
      </c>
      <c r="M22">
        <v>59671.519999999997</v>
      </c>
    </row>
    <row r="23" spans="1:17" ht="12.75" hidden="1" customHeight="1">
      <c r="A23" s="223" t="s">
        <v>173</v>
      </c>
      <c r="B23" s="224"/>
      <c r="C23" s="224"/>
      <c r="D23" s="225"/>
      <c r="E23" s="225" t="s">
        <v>12</v>
      </c>
      <c r="F23" s="225">
        <f ca="1">+G23-M23</f>
        <v>134579</v>
      </c>
      <c r="G23" s="225">
        <f t="shared" ref="G23:G35" ca="1" si="3">+F23+M23</f>
        <v>1231</v>
      </c>
      <c r="H23" s="225">
        <f>+I23-O23</f>
        <v>0</v>
      </c>
      <c r="I23" s="225"/>
      <c r="J23" s="225"/>
      <c r="K23" s="225"/>
      <c r="L23" s="244" t="s">
        <v>12</v>
      </c>
      <c r="M23">
        <v>1231</v>
      </c>
    </row>
    <row r="24" spans="1:17" ht="12.75" hidden="1" customHeight="1">
      <c r="A24" s="223" t="s">
        <v>174</v>
      </c>
      <c r="B24" s="224"/>
      <c r="C24" s="224"/>
      <c r="D24" s="225"/>
      <c r="E24" s="225"/>
      <c r="F24" s="225">
        <f ca="1">+G24-M24</f>
        <v>134579</v>
      </c>
      <c r="G24" s="225">
        <f t="shared" ca="1" si="3"/>
        <v>1231</v>
      </c>
      <c r="H24" s="225">
        <f>+I24-O24</f>
        <v>0</v>
      </c>
      <c r="I24" s="225"/>
      <c r="J24" s="225"/>
      <c r="K24" s="225"/>
      <c r="L24" s="244" t="s">
        <v>12</v>
      </c>
      <c r="M24">
        <v>1231</v>
      </c>
    </row>
    <row r="25" spans="1:17" ht="12.75" hidden="1" customHeight="1">
      <c r="A25" s="223" t="s">
        <v>175</v>
      </c>
      <c r="B25" s="224"/>
      <c r="C25" s="224"/>
      <c r="D25" s="225"/>
      <c r="E25" s="225"/>
      <c r="F25" s="225">
        <f ca="1">+G25-M25</f>
        <v>134579</v>
      </c>
      <c r="G25" s="225">
        <f t="shared" ca="1" si="3"/>
        <v>1231</v>
      </c>
      <c r="H25" s="225">
        <f>+I25-O25</f>
        <v>0</v>
      </c>
      <c r="I25" s="225"/>
      <c r="J25" s="225"/>
      <c r="K25" s="225"/>
      <c r="L25" s="244" t="s">
        <v>12</v>
      </c>
      <c r="M25">
        <v>1231</v>
      </c>
    </row>
    <row r="26" spans="1:17" ht="12.75" hidden="1" customHeight="1">
      <c r="A26" s="223" t="s">
        <v>176</v>
      </c>
      <c r="B26" s="224"/>
      <c r="C26" s="224"/>
      <c r="D26" s="225"/>
      <c r="E26" s="225"/>
      <c r="F26" s="225">
        <f ca="1">+G26-M26</f>
        <v>134579</v>
      </c>
      <c r="G26" s="225">
        <f t="shared" ca="1" si="3"/>
        <v>1231</v>
      </c>
      <c r="H26" s="225">
        <f>+I26-O26</f>
        <v>0</v>
      </c>
      <c r="I26" s="225"/>
      <c r="J26" s="225"/>
      <c r="K26" s="225"/>
      <c r="L26" s="244" t="s">
        <v>12</v>
      </c>
      <c r="M26">
        <v>1231</v>
      </c>
    </row>
    <row r="27" spans="1:17" ht="12.75" customHeight="1">
      <c r="A27" s="223"/>
      <c r="B27" s="224"/>
      <c r="C27" s="224"/>
      <c r="D27" s="225"/>
      <c r="E27" s="225"/>
      <c r="F27" s="225"/>
      <c r="G27" s="225"/>
      <c r="H27" s="225"/>
      <c r="I27" s="225"/>
      <c r="J27" s="225"/>
      <c r="K27" s="225"/>
      <c r="L27" s="244"/>
    </row>
    <row r="28" spans="1:17" ht="18" customHeight="1">
      <c r="A28" s="227" t="s">
        <v>177</v>
      </c>
      <c r="B28" s="228">
        <f>+FUNCIONAMIENTO!C157+FUNCIONAMIENTO!C159++FUNCIONAMIENTO!C164+FUNCIONAMIENTO!C168</f>
        <v>1964594</v>
      </c>
      <c r="C28" s="228"/>
      <c r="D28" s="228">
        <f>+FUNCIONAMIENTO!F157+FUNCIONAMIENTO!F159++FUNCIONAMIENTO!F164+FUNCIONAMIENTO!F168</f>
        <v>4188361</v>
      </c>
      <c r="E28" s="228">
        <f>+FUNCIONAMIENTO!G157+FUNCIONAMIENTO!G159++FUNCIONAMIENTO!G164</f>
        <v>4019248</v>
      </c>
      <c r="F28" s="228">
        <f>+FUNCIONAMIENTO!H157+FUNCIONAMIENTO!H159++FUNCIONAMIENTO!H164</f>
        <v>116909.12999999999</v>
      </c>
      <c r="G28" s="228">
        <f>+FUNCIONAMIENTO!I157+FUNCIONAMIENTO!I159++FUNCIONAMIENTO!I164+FUNCIONAMIENTO!I168+FUNCIONAMIENTO!I174</f>
        <v>2305230.48</v>
      </c>
      <c r="H28" s="228">
        <f>+FUNCIONAMIENTO!J157+FUNCIONAMIENTO!J159++FUNCIONAMIENTO!J164</f>
        <v>2230690.81</v>
      </c>
      <c r="I28" s="228">
        <f>+FUNCIONAMIENTO!K157+FUNCIONAMIENTO!K159++FUNCIONAMIENTO!K164-1</f>
        <v>2221914.48</v>
      </c>
      <c r="J28" s="228">
        <f>+J22</f>
        <v>1714017.52</v>
      </c>
      <c r="K28" s="228" t="e">
        <f>+K22</f>
        <v>#REF!</v>
      </c>
      <c r="L28" s="246">
        <f>+G28/E28*100</f>
        <v>57.354770842704909</v>
      </c>
      <c r="M28">
        <v>1864284</v>
      </c>
    </row>
    <row r="29" spans="1:17" ht="18" customHeight="1">
      <c r="A29" s="227" t="s">
        <v>178</v>
      </c>
      <c r="B29" s="231"/>
      <c r="C29" s="231"/>
      <c r="D29" s="228"/>
      <c r="E29" s="228" t="s">
        <v>12</v>
      </c>
      <c r="F29" s="228" t="s">
        <v>12</v>
      </c>
      <c r="G29" s="228" t="s">
        <v>12</v>
      </c>
      <c r="H29" s="228" t="s">
        <v>12</v>
      </c>
      <c r="I29" s="228"/>
      <c r="J29" s="228"/>
      <c r="K29" s="228"/>
      <c r="L29" s="246" t="s">
        <v>12</v>
      </c>
      <c r="M29" t="s">
        <v>12</v>
      </c>
    </row>
    <row r="30" spans="1:17" ht="18" customHeight="1">
      <c r="A30" s="227" t="s">
        <v>179</v>
      </c>
      <c r="B30" s="231"/>
      <c r="C30" s="231"/>
      <c r="D30" s="228"/>
      <c r="E30" s="228" t="s">
        <v>12</v>
      </c>
      <c r="F30" s="228"/>
      <c r="G30" s="228">
        <f t="shared" si="3"/>
        <v>0</v>
      </c>
      <c r="H30" s="228"/>
      <c r="I30" s="228"/>
      <c r="J30" s="228"/>
      <c r="K30" s="228"/>
      <c r="L30" s="246" t="s">
        <v>12</v>
      </c>
      <c r="M30">
        <v>0</v>
      </c>
    </row>
    <row r="31" spans="1:17" ht="9" customHeight="1">
      <c r="A31" s="227"/>
      <c r="B31" s="231"/>
      <c r="C31" s="231"/>
      <c r="D31" s="228"/>
      <c r="E31" s="228"/>
      <c r="F31" s="228"/>
      <c r="G31" s="228"/>
      <c r="H31" s="228"/>
      <c r="I31" s="228"/>
      <c r="J31" s="228"/>
      <c r="K31" s="228"/>
      <c r="L31" s="246"/>
    </row>
    <row r="32" spans="1:17" ht="22.5" customHeight="1">
      <c r="A32" s="232" t="s">
        <v>180</v>
      </c>
      <c r="B32" s="233">
        <f>+FUNCIONAMIENTO!C170</f>
        <v>287000</v>
      </c>
      <c r="C32" s="233"/>
      <c r="D32" s="233">
        <f>+FUNCIONAMIENTO!F170</f>
        <v>93500</v>
      </c>
      <c r="E32" s="233">
        <f>+FUNCIONAMIENTO!G170</f>
        <v>93500</v>
      </c>
      <c r="F32" s="233">
        <f>+FUNCIONAMIENTO!H170</f>
        <v>0</v>
      </c>
      <c r="G32" s="233">
        <f>+FUNCIONAMIENTO!I170</f>
        <v>25424.21</v>
      </c>
      <c r="H32" s="233">
        <f>+FUNCIONAMIENTO!J170</f>
        <v>900</v>
      </c>
      <c r="I32" s="233" t="e">
        <f>+FUNCIONAMIENTO!K160+FUNCIONAMIENTO!#REF!++FUNCIONAMIENTO!K170</f>
        <v>#REF!</v>
      </c>
      <c r="J32" s="233">
        <f>+E32-G32</f>
        <v>68075.790000000008</v>
      </c>
      <c r="K32" s="233" t="e">
        <f>+#REF!-G32</f>
        <v>#REF!</v>
      </c>
      <c r="L32" s="247">
        <f>+G32/E32*100</f>
        <v>27.191668449197859</v>
      </c>
      <c r="M32">
        <v>5963.56</v>
      </c>
    </row>
    <row r="33" spans="1:18" ht="12.6" customHeight="1">
      <c r="A33" s="223"/>
      <c r="B33" s="224"/>
      <c r="C33" s="224"/>
      <c r="D33" s="225"/>
      <c r="E33" s="225"/>
      <c r="F33" s="225"/>
      <c r="G33" s="225"/>
      <c r="H33" s="225"/>
      <c r="I33" s="225"/>
      <c r="J33" s="225"/>
      <c r="K33" s="225"/>
      <c r="L33" s="244"/>
    </row>
    <row r="34" spans="1:18" ht="15.75" customHeight="1">
      <c r="A34" s="223" t="s">
        <v>12</v>
      </c>
      <c r="B34" s="224"/>
      <c r="C34" s="224"/>
      <c r="D34" s="225"/>
      <c r="E34" s="225" t="s">
        <v>12</v>
      </c>
      <c r="F34" s="225" t="s">
        <v>12</v>
      </c>
      <c r="G34" s="225" t="s">
        <v>12</v>
      </c>
      <c r="H34" s="225" t="s">
        <v>12</v>
      </c>
      <c r="I34" s="225">
        <v>0</v>
      </c>
      <c r="J34" s="225" t="s">
        <v>12</v>
      </c>
      <c r="K34" s="225" t="s">
        <v>12</v>
      </c>
      <c r="L34" s="244">
        <v>0</v>
      </c>
      <c r="M34" t="s">
        <v>12</v>
      </c>
    </row>
    <row r="35" spans="1:18" ht="7.9" customHeight="1">
      <c r="A35" s="223" t="s">
        <v>12</v>
      </c>
      <c r="B35" s="224"/>
      <c r="C35" s="224"/>
      <c r="D35" s="225"/>
      <c r="E35" s="225"/>
      <c r="F35" s="225"/>
      <c r="G35" s="225">
        <f t="shared" si="3"/>
        <v>0</v>
      </c>
      <c r="H35" s="225"/>
      <c r="I35" s="225"/>
      <c r="J35" s="225" t="s">
        <v>12</v>
      </c>
      <c r="K35" s="225" t="s">
        <v>12</v>
      </c>
      <c r="L35" s="244" t="s">
        <v>12</v>
      </c>
      <c r="M35">
        <v>0</v>
      </c>
    </row>
    <row r="36" spans="1:18" ht="15">
      <c r="A36" s="234" t="s">
        <v>181</v>
      </c>
      <c r="B36" s="226">
        <f>+B39</f>
        <v>56905194</v>
      </c>
      <c r="C36" s="579">
        <f>+C39</f>
        <v>-30072365.509999998</v>
      </c>
      <c r="D36" s="226">
        <f>+D39+D44</f>
        <v>26708941</v>
      </c>
      <c r="E36" s="226">
        <f>+E44+E39</f>
        <v>26708941</v>
      </c>
      <c r="F36" s="226">
        <f>+F39+F44</f>
        <v>27793.590000000004</v>
      </c>
      <c r="G36" s="226">
        <f>+G39</f>
        <v>24360868.960000005</v>
      </c>
      <c r="H36" s="226">
        <f>+H39+H44</f>
        <v>12654364.870000001</v>
      </c>
      <c r="I36" s="226">
        <f>+I44+I39</f>
        <v>7985210.1700000009</v>
      </c>
      <c r="J36" s="226">
        <f>+E36-G36</f>
        <v>2348072.0399999954</v>
      </c>
      <c r="K36" s="226" t="e">
        <f>+#REF!-G36</f>
        <v>#REF!</v>
      </c>
      <c r="L36" s="245">
        <f>+G36/E36*100</f>
        <v>91.208666640882569</v>
      </c>
      <c r="M36" s="248">
        <f>12869150.13-1</f>
        <v>12869149.130000001</v>
      </c>
    </row>
    <row r="37" spans="1:18" ht="4.5" customHeight="1">
      <c r="A37" s="223"/>
      <c r="B37" s="224"/>
      <c r="C37" s="224"/>
      <c r="D37" s="225"/>
      <c r="E37" s="235" t="s">
        <v>12</v>
      </c>
      <c r="F37" s="225" t="s">
        <v>12</v>
      </c>
      <c r="G37" s="225" t="s">
        <v>12</v>
      </c>
      <c r="H37" s="225" t="s">
        <v>12</v>
      </c>
      <c r="I37" s="225"/>
      <c r="J37" s="225"/>
      <c r="K37" s="225"/>
      <c r="L37" s="244" t="s">
        <v>12</v>
      </c>
      <c r="M37" t="s">
        <v>12</v>
      </c>
    </row>
    <row r="38" spans="1:18" ht="15.75" customHeight="1">
      <c r="A38" s="223"/>
      <c r="B38" s="224"/>
      <c r="C38" s="224"/>
      <c r="D38" s="225"/>
      <c r="E38" s="235"/>
      <c r="F38" s="225"/>
      <c r="G38" s="225"/>
      <c r="H38" s="225"/>
      <c r="I38" s="225"/>
      <c r="J38" s="225"/>
      <c r="K38" s="225"/>
      <c r="L38" s="244"/>
    </row>
    <row r="39" spans="1:18" ht="13.5">
      <c r="A39" s="223" t="s">
        <v>182</v>
      </c>
      <c r="B39" s="224">
        <f>+B41+B42+B43</f>
        <v>56905194</v>
      </c>
      <c r="C39" s="577">
        <f>SUM(C41:C43)</f>
        <v>-30072365.509999998</v>
      </c>
      <c r="D39" s="225">
        <f t="shared" ref="D39:I39" si="4">+D41+D42+D43</f>
        <v>26708941</v>
      </c>
      <c r="E39" s="225">
        <f t="shared" si="4"/>
        <v>26708941</v>
      </c>
      <c r="F39" s="225">
        <f t="shared" si="4"/>
        <v>27793.590000000004</v>
      </c>
      <c r="G39" s="225">
        <f t="shared" si="4"/>
        <v>24360868.960000005</v>
      </c>
      <c r="H39" s="225">
        <f>+H41+H42+H43-1</f>
        <v>12654364.870000001</v>
      </c>
      <c r="I39" s="225">
        <f t="shared" si="4"/>
        <v>7985210.1700000009</v>
      </c>
      <c r="J39" s="225">
        <f>+E39-G39</f>
        <v>2348072.0399999954</v>
      </c>
      <c r="K39" s="225" t="e">
        <f>+#REF!-G39</f>
        <v>#REF!</v>
      </c>
      <c r="L39" s="244">
        <f>+G39/E39*100</f>
        <v>91.208666640882569</v>
      </c>
      <c r="M39">
        <v>12869150.130000001</v>
      </c>
      <c r="O39" t="s">
        <v>12</v>
      </c>
    </row>
    <row r="40" spans="1:18" ht="6" customHeight="1">
      <c r="A40" s="223"/>
      <c r="B40" s="224"/>
      <c r="C40" s="224"/>
      <c r="D40" s="225"/>
      <c r="E40" s="225"/>
      <c r="F40" s="225" t="s">
        <v>12</v>
      </c>
      <c r="G40" s="225" t="s">
        <v>12</v>
      </c>
      <c r="H40" s="225" t="s">
        <v>12</v>
      </c>
      <c r="I40" s="225"/>
      <c r="J40" s="225" t="s">
        <v>12</v>
      </c>
      <c r="K40" s="225" t="s">
        <v>12</v>
      </c>
      <c r="L40" s="244"/>
      <c r="M40" t="s">
        <v>12</v>
      </c>
    </row>
    <row r="41" spans="1:18" ht="18" customHeight="1">
      <c r="A41" s="223" t="s">
        <v>183</v>
      </c>
      <c r="B41" s="228">
        <f>+PROYECTOS!B8</f>
        <v>27799680</v>
      </c>
      <c r="C41" s="576">
        <v>-13960272</v>
      </c>
      <c r="D41" s="228">
        <f>+PROYECTOS!E8</f>
        <v>9855138</v>
      </c>
      <c r="E41" s="228">
        <f>+PROYECTOS!F8</f>
        <v>9855138</v>
      </c>
      <c r="F41" s="228">
        <f>+PROYECTOS!G8</f>
        <v>19922.52</v>
      </c>
      <c r="G41" s="228">
        <f>+PROYECTOS!H8</f>
        <v>9159278.0300000012</v>
      </c>
      <c r="H41" s="228">
        <f>+PROYECTOS!I8</f>
        <v>1605207.3699999999</v>
      </c>
      <c r="I41" s="228">
        <f>+PROYECTOS!J8</f>
        <v>1541781.6</v>
      </c>
      <c r="J41" s="228">
        <f>+E41-G41</f>
        <v>695859.96999999881</v>
      </c>
      <c r="K41" s="228" t="e">
        <f>+#REF!-G41</f>
        <v>#REF!</v>
      </c>
      <c r="L41" s="246">
        <f>+G41/E41*100</f>
        <v>92.939114906356465</v>
      </c>
      <c r="M41" s="249">
        <v>12221531.41</v>
      </c>
      <c r="O41" s="1"/>
      <c r="P41" s="1"/>
      <c r="R41" s="253"/>
    </row>
    <row r="42" spans="1:18" ht="18" customHeight="1">
      <c r="A42" s="223" t="s">
        <v>184</v>
      </c>
      <c r="B42" s="228">
        <f>+PROYECTOS!B16</f>
        <v>15761574</v>
      </c>
      <c r="C42" s="576">
        <v>-10261734.66</v>
      </c>
      <c r="D42" s="228">
        <f>+PROYECTOS!E16</f>
        <v>8644808</v>
      </c>
      <c r="E42" s="228">
        <f>+PROYECTOS!F16</f>
        <v>8644808</v>
      </c>
      <c r="F42" s="228">
        <f>+PROYECTOS!G16</f>
        <v>4115.49</v>
      </c>
      <c r="G42" s="228">
        <f>+PROYECTOS!H16</f>
        <v>8043755.0200000014</v>
      </c>
      <c r="H42" s="228">
        <f>+PROYECTOS!I16</f>
        <v>5658539.6700000018</v>
      </c>
      <c r="I42" s="228">
        <f>+PROYECTOS!J16</f>
        <v>4258380.62</v>
      </c>
      <c r="J42" s="228">
        <f>+E42-G42</f>
        <v>601052.97999999858</v>
      </c>
      <c r="K42" s="228" t="e">
        <f>+#REF!-G42</f>
        <v>#REF!</v>
      </c>
      <c r="L42" s="246">
        <f>+G42/E42*100</f>
        <v>93.047237370685394</v>
      </c>
      <c r="M42" s="249">
        <v>647618.72</v>
      </c>
      <c r="O42" s="1"/>
      <c r="P42" s="1"/>
      <c r="R42" s="253"/>
    </row>
    <row r="43" spans="1:18" ht="19.5" customHeight="1">
      <c r="A43" s="236" t="s">
        <v>185</v>
      </c>
      <c r="B43" s="237">
        <f>+PROYECTOS!B33</f>
        <v>13343940</v>
      </c>
      <c r="C43" s="578">
        <v>-5850358.8499999996</v>
      </c>
      <c r="D43" s="237">
        <f>+PROYECTOS!E33</f>
        <v>8208995</v>
      </c>
      <c r="E43" s="237">
        <f>+PROYECTOS!F33</f>
        <v>8208995</v>
      </c>
      <c r="F43" s="237">
        <f>+PROYECTOS!G33</f>
        <v>3755.58</v>
      </c>
      <c r="G43" s="237">
        <f>+PROYECTOS!H33</f>
        <v>7157835.9100000001</v>
      </c>
      <c r="H43" s="237">
        <f>+PROYECTOS!I33</f>
        <v>5390618.8300000001</v>
      </c>
      <c r="I43" s="237">
        <f>+PROYECTOS!J33</f>
        <v>2185047.9500000002</v>
      </c>
      <c r="J43" s="662">
        <f>+E43-G43</f>
        <v>1051159.0899999999</v>
      </c>
      <c r="K43" s="237" t="e">
        <f>+#REF!-G43</f>
        <v>#REF!</v>
      </c>
      <c r="L43" s="250">
        <f>+G43/E43*100</f>
        <v>87.195033131339457</v>
      </c>
      <c r="M43" s="249">
        <v>0</v>
      </c>
      <c r="O43" s="1"/>
      <c r="P43" s="1"/>
    </row>
    <row r="44" spans="1:18" ht="10.5" customHeight="1">
      <c r="A44" s="238"/>
      <c r="B44" s="238"/>
      <c r="C44" s="238"/>
      <c r="D44" s="239"/>
      <c r="E44" s="239"/>
      <c r="F44" s="239"/>
      <c r="G44" s="239"/>
      <c r="H44" s="239"/>
      <c r="I44" s="598"/>
      <c r="J44" s="598"/>
      <c r="K44" s="239"/>
      <c r="L44" s="251"/>
      <c r="M44" t="s">
        <v>12</v>
      </c>
    </row>
    <row r="45" spans="1:18" ht="7.5" hidden="1" customHeight="1">
      <c r="A45" s="238"/>
      <c r="B45" s="238"/>
      <c r="C45" s="238"/>
      <c r="D45" s="239"/>
      <c r="E45" s="239"/>
      <c r="F45" s="239"/>
      <c r="G45" s="239"/>
      <c r="H45" s="239"/>
      <c r="I45" s="598"/>
      <c r="J45" s="598"/>
      <c r="K45" s="239"/>
      <c r="L45" s="251"/>
      <c r="M45" t="s">
        <v>12</v>
      </c>
    </row>
    <row r="46" spans="1:18" ht="13.5" hidden="1">
      <c r="A46" s="238"/>
      <c r="B46" s="238"/>
      <c r="C46" s="238"/>
      <c r="D46" s="239"/>
      <c r="E46" s="239"/>
      <c r="F46" s="239"/>
      <c r="G46" s="239"/>
      <c r="H46" s="239"/>
      <c r="I46" s="598"/>
      <c r="J46" s="598"/>
      <c r="K46" s="239"/>
      <c r="L46" s="251"/>
      <c r="M46" t="s">
        <v>12</v>
      </c>
    </row>
    <row r="47" spans="1:18" ht="13.5" hidden="1">
      <c r="A47" s="238"/>
      <c r="B47" s="238"/>
      <c r="C47" s="238"/>
      <c r="D47" s="239"/>
      <c r="E47" s="239"/>
      <c r="F47" s="239"/>
      <c r="G47" s="239"/>
      <c r="H47" s="239"/>
      <c r="I47" s="598"/>
      <c r="J47" s="598"/>
      <c r="K47" s="239"/>
      <c r="L47" s="251"/>
      <c r="M47" t="s">
        <v>12</v>
      </c>
    </row>
    <row r="48" spans="1:18" ht="3.75" customHeight="1">
      <c r="A48" s="238"/>
      <c r="B48" s="238"/>
      <c r="C48" s="238"/>
      <c r="D48" s="239"/>
      <c r="E48" s="239"/>
      <c r="F48" s="239"/>
      <c r="G48" s="239"/>
      <c r="H48" s="239"/>
      <c r="I48" s="598"/>
      <c r="J48" s="598"/>
      <c r="K48" s="239"/>
      <c r="L48" s="251"/>
      <c r="M48" t="s">
        <v>12</v>
      </c>
    </row>
    <row r="49" spans="1:13" ht="1.5" customHeight="1">
      <c r="A49" s="332"/>
      <c r="B49" s="332"/>
      <c r="C49" s="332"/>
      <c r="D49" s="506"/>
      <c r="E49" s="507"/>
      <c r="F49" s="507"/>
      <c r="G49" s="507"/>
      <c r="H49" s="507"/>
      <c r="I49" s="599"/>
      <c r="J49" s="599"/>
      <c r="K49" s="507"/>
      <c r="L49" s="508"/>
      <c r="M49" t="s">
        <v>12</v>
      </c>
    </row>
    <row r="50" spans="1:13" ht="12" hidden="1" customHeight="1">
      <c r="A50" s="241"/>
      <c r="B50" s="241"/>
      <c r="C50" s="241"/>
      <c r="D50" s="241"/>
      <c r="E50" s="105"/>
      <c r="F50" s="105"/>
      <c r="G50" s="107"/>
      <c r="H50" s="107"/>
      <c r="I50" s="600"/>
      <c r="J50" s="600"/>
      <c r="K50" s="107"/>
      <c r="L50" s="509"/>
    </row>
    <row r="51" spans="1:13">
      <c r="A51" s="717" t="s">
        <v>41</v>
      </c>
      <c r="B51" s="717"/>
      <c r="C51" s="558"/>
      <c r="D51" s="6"/>
      <c r="E51" s="1"/>
      <c r="F51" s="1"/>
      <c r="G51" s="178"/>
      <c r="H51" s="178"/>
      <c r="I51" s="601"/>
      <c r="J51" s="601"/>
      <c r="K51" s="178"/>
      <c r="L51" s="3"/>
    </row>
    <row r="52" spans="1:13">
      <c r="A52" s="242" cm="1">
        <f t="array" ref="A52">A1:L52</f>
        <v>0</v>
      </c>
      <c r="B52" s="242"/>
      <c r="C52" s="242"/>
      <c r="D52" s="242"/>
      <c r="E52" s="65"/>
      <c r="F52" s="65"/>
      <c r="G52" s="243"/>
      <c r="H52" s="243"/>
      <c r="I52" s="602"/>
      <c r="J52" s="602"/>
      <c r="K52" s="243"/>
      <c r="L52" s="252"/>
    </row>
    <row r="53" spans="1:13">
      <c r="A53" s="242" t="s">
        <v>12</v>
      </c>
      <c r="B53" s="242"/>
      <c r="C53" s="242"/>
      <c r="D53" s="242"/>
      <c r="E53" s="65"/>
      <c r="F53" s="65"/>
      <c r="G53" s="243"/>
      <c r="H53" s="243"/>
      <c r="I53" s="602"/>
      <c r="J53" s="602"/>
      <c r="K53" s="243"/>
      <c r="L53" s="252"/>
    </row>
    <row r="54" spans="1:13">
      <c r="A54" s="242" t="s">
        <v>12</v>
      </c>
      <c r="B54" s="242"/>
      <c r="C54" s="242"/>
      <c r="D54" s="242"/>
      <c r="E54" s="152"/>
      <c r="F54" s="152"/>
      <c r="G54" s="152"/>
      <c r="H54" s="152"/>
      <c r="I54" s="602"/>
      <c r="J54" s="602"/>
      <c r="K54" s="152"/>
      <c r="L54" s="252"/>
    </row>
    <row r="55" spans="1:13">
      <c r="A55" s="242" t="s">
        <v>12</v>
      </c>
      <c r="B55" s="242"/>
      <c r="C55" s="242"/>
      <c r="D55" s="242"/>
      <c r="E55" s="152"/>
      <c r="F55" s="152"/>
      <c r="G55" s="152"/>
      <c r="H55" s="152"/>
      <c r="I55" s="602"/>
      <c r="J55" s="602"/>
      <c r="K55" s="152"/>
      <c r="L55" s="252"/>
    </row>
    <row r="56" spans="1:13">
      <c r="A56" s="242" t="s">
        <v>12</v>
      </c>
      <c r="B56" s="242"/>
      <c r="C56" s="242"/>
      <c r="D56" s="242"/>
      <c r="E56" s="152"/>
      <c r="F56" s="152"/>
      <c r="G56" s="152"/>
      <c r="H56" s="152"/>
      <c r="I56" s="602"/>
      <c r="J56" s="602"/>
      <c r="K56" s="152"/>
      <c r="L56" s="252"/>
    </row>
    <row r="57" spans="1:13">
      <c r="A57" s="242" t="s">
        <v>12</v>
      </c>
      <c r="B57" s="242"/>
      <c r="C57" s="242"/>
      <c r="D57" s="242"/>
      <c r="E57" s="152"/>
      <c r="F57" s="152"/>
      <c r="G57" s="152"/>
      <c r="H57" s="152"/>
      <c r="I57" s="602"/>
      <c r="J57" s="602"/>
      <c r="K57" s="152"/>
      <c r="L57" s="252"/>
    </row>
    <row r="58" spans="1:13">
      <c r="A58" s="242" t="s">
        <v>12</v>
      </c>
      <c r="B58" s="242"/>
      <c r="C58" s="242"/>
      <c r="D58" s="242"/>
      <c r="E58" s="152"/>
      <c r="F58" s="152"/>
      <c r="G58" s="152"/>
      <c r="H58" s="152"/>
      <c r="I58" s="602"/>
      <c r="J58" s="602"/>
      <c r="K58" s="152"/>
      <c r="L58" s="252"/>
    </row>
    <row r="59" spans="1:13">
      <c r="A59" s="242" t="s">
        <v>12</v>
      </c>
      <c r="B59" s="242"/>
      <c r="C59" s="242"/>
      <c r="D59" s="242"/>
      <c r="E59" s="152"/>
      <c r="F59" s="152"/>
      <c r="G59" s="152"/>
      <c r="H59" s="152"/>
      <c r="I59" s="602"/>
      <c r="J59" s="602"/>
      <c r="K59" s="152"/>
      <c r="L59" s="252"/>
    </row>
    <row r="60" spans="1:13" ht="74.25" customHeight="1">
      <c r="A60" s="242" t="s">
        <v>12</v>
      </c>
      <c r="B60" s="242"/>
      <c r="C60" s="242"/>
      <c r="D60" s="242"/>
      <c r="E60" s="152"/>
      <c r="F60" s="152"/>
      <c r="G60" s="152"/>
      <c r="H60" s="152"/>
      <c r="I60" s="602"/>
      <c r="J60" s="602"/>
      <c r="K60" s="152"/>
      <c r="L60" s="252"/>
    </row>
    <row r="61" spans="1:13">
      <c r="A61" s="4" t="s">
        <v>12</v>
      </c>
      <c r="E61" s="152"/>
      <c r="F61" s="152"/>
      <c r="G61" s="152"/>
      <c r="H61" s="152"/>
      <c r="I61" s="602"/>
      <c r="J61" s="602"/>
      <c r="K61" s="152"/>
      <c r="L61" s="252"/>
    </row>
    <row r="62" spans="1:13">
      <c r="E62" s="152"/>
      <c r="F62" s="152"/>
      <c r="G62" s="152"/>
      <c r="H62" s="152"/>
      <c r="I62" s="602"/>
      <c r="J62" s="602"/>
      <c r="K62" s="152"/>
      <c r="L62" s="252"/>
    </row>
    <row r="63" spans="1:13">
      <c r="A63" s="4" t="s">
        <v>12</v>
      </c>
      <c r="E63" s="152"/>
      <c r="F63" s="152"/>
      <c r="G63" s="152"/>
      <c r="H63" s="152"/>
      <c r="I63" s="602"/>
      <c r="J63" s="602"/>
      <c r="K63" s="152"/>
      <c r="L63" s="252"/>
    </row>
    <row r="64" spans="1:13">
      <c r="A64" s="4" t="s">
        <v>12</v>
      </c>
      <c r="E64" s="152"/>
      <c r="F64" s="152"/>
      <c r="G64" s="152"/>
      <c r="H64" s="152"/>
      <c r="I64" s="602"/>
      <c r="J64" s="602"/>
      <c r="K64" s="152"/>
      <c r="L64" s="252"/>
    </row>
    <row r="65" spans="5:12">
      <c r="E65" s="152"/>
      <c r="F65" s="152"/>
      <c r="G65" s="152"/>
      <c r="H65" s="152"/>
      <c r="I65" s="602"/>
      <c r="J65" s="602"/>
      <c r="K65" s="152"/>
      <c r="L65" s="252"/>
    </row>
    <row r="66" spans="5:12">
      <c r="E66" s="152"/>
      <c r="F66" s="152"/>
      <c r="G66" s="152"/>
      <c r="H66" s="152"/>
      <c r="I66" s="602"/>
      <c r="J66" s="602"/>
      <c r="K66" s="152"/>
      <c r="L66" s="252"/>
    </row>
    <row r="67" spans="5:12">
      <c r="E67" s="152"/>
      <c r="F67" s="152"/>
      <c r="G67" s="152"/>
      <c r="H67" s="152"/>
      <c r="I67" s="602"/>
      <c r="J67" s="602"/>
      <c r="K67" s="152"/>
      <c r="L67" s="252"/>
    </row>
    <row r="68" spans="5:12">
      <c r="E68" s="152"/>
      <c r="F68" s="152"/>
      <c r="G68" s="152"/>
      <c r="H68" s="152"/>
      <c r="I68" s="602"/>
      <c r="J68" s="602"/>
      <c r="K68" s="152"/>
      <c r="L68" s="252"/>
    </row>
    <row r="69" spans="5:12">
      <c r="E69" s="152"/>
      <c r="F69" s="152"/>
      <c r="G69" s="152"/>
      <c r="H69" s="152"/>
      <c r="I69" s="602"/>
      <c r="J69" s="602"/>
      <c r="K69" s="152"/>
      <c r="L69" s="252"/>
    </row>
    <row r="70" spans="5:12">
      <c r="E70" s="152"/>
      <c r="F70" s="152"/>
      <c r="G70" s="152"/>
      <c r="H70" s="152"/>
      <c r="I70" s="602"/>
      <c r="J70" s="602"/>
      <c r="K70" s="152"/>
      <c r="L70" s="252"/>
    </row>
    <row r="71" spans="5:12">
      <c r="E71" s="152"/>
      <c r="F71" s="152"/>
      <c r="G71" s="152"/>
      <c r="H71" s="152"/>
      <c r="I71" s="602"/>
      <c r="J71" s="602"/>
      <c r="K71" s="152"/>
      <c r="L71" s="252"/>
    </row>
    <row r="72" spans="5:12">
      <c r="E72" s="152"/>
      <c r="F72" s="152"/>
      <c r="G72" s="152"/>
      <c r="H72" s="152"/>
      <c r="I72" s="602"/>
      <c r="J72" s="602"/>
      <c r="K72" s="152"/>
      <c r="L72" s="252"/>
    </row>
    <row r="73" spans="5:12">
      <c r="E73" s="152"/>
      <c r="F73" s="152"/>
      <c r="G73" s="152"/>
      <c r="H73" s="152"/>
      <c r="I73" s="602"/>
      <c r="J73" s="602"/>
      <c r="K73" s="152"/>
      <c r="L73" s="252"/>
    </row>
    <row r="74" spans="5:12">
      <c r="E74" s="152"/>
      <c r="F74" s="152"/>
      <c r="G74" s="152"/>
      <c r="H74" s="152"/>
      <c r="I74" s="602"/>
      <c r="J74" s="602"/>
      <c r="K74" s="152"/>
      <c r="L74" s="252"/>
    </row>
    <row r="75" spans="5:12">
      <c r="E75" s="152"/>
      <c r="F75" s="152"/>
      <c r="G75" s="152"/>
      <c r="H75" s="152"/>
      <c r="I75" s="152"/>
      <c r="J75" s="152"/>
      <c r="K75" s="152"/>
      <c r="L75" s="252"/>
    </row>
    <row r="76" spans="5:12">
      <c r="E76" s="152"/>
      <c r="F76" s="152"/>
      <c r="G76" s="152"/>
      <c r="H76" s="152"/>
      <c r="I76" s="152"/>
      <c r="J76" s="152"/>
      <c r="K76" s="152"/>
      <c r="L76" s="252"/>
    </row>
    <row r="77" spans="5:12">
      <c r="E77" s="152"/>
      <c r="F77" s="152"/>
      <c r="G77" s="152"/>
      <c r="H77" s="152"/>
      <c r="I77" s="152"/>
      <c r="J77" s="152"/>
      <c r="K77" s="152"/>
      <c r="L77" s="252"/>
    </row>
    <row r="78" spans="5:12">
      <c r="E78" s="152"/>
      <c r="F78" s="152"/>
      <c r="G78" s="152"/>
      <c r="H78" s="152"/>
      <c r="I78" s="152"/>
      <c r="J78" s="152"/>
      <c r="K78" s="152"/>
      <c r="L78" s="252"/>
    </row>
    <row r="79" spans="5:12">
      <c r="E79" s="152"/>
      <c r="F79" s="152"/>
      <c r="G79" s="152"/>
      <c r="H79" s="152"/>
      <c r="I79" s="152"/>
      <c r="J79" s="152"/>
      <c r="K79" s="152"/>
      <c r="L79" s="252"/>
    </row>
    <row r="80" spans="5:12">
      <c r="E80" s="152"/>
      <c r="F80" s="152"/>
      <c r="G80" s="152"/>
      <c r="H80" s="152"/>
      <c r="I80" s="152"/>
      <c r="J80" s="152"/>
      <c r="K80" s="152"/>
      <c r="L80" s="252"/>
    </row>
    <row r="81" spans="5:12">
      <c r="E81" s="152"/>
      <c r="F81" s="152"/>
      <c r="G81" s="152"/>
      <c r="H81" s="152"/>
      <c r="I81" s="152"/>
      <c r="J81" s="152"/>
      <c r="K81" s="152"/>
      <c r="L81" s="252"/>
    </row>
    <row r="82" spans="5:12">
      <c r="E82" s="152"/>
      <c r="F82" s="152"/>
      <c r="G82" s="152"/>
      <c r="H82" s="152"/>
      <c r="I82" s="152"/>
      <c r="J82" s="152"/>
      <c r="K82" s="152"/>
      <c r="L82" s="252"/>
    </row>
    <row r="83" spans="5:12">
      <c r="E83" s="152"/>
      <c r="F83" s="152"/>
      <c r="G83" s="152"/>
      <c r="H83" s="152"/>
      <c r="I83" s="152"/>
      <c r="J83" s="152"/>
      <c r="K83" s="152"/>
      <c r="L83" s="252"/>
    </row>
    <row r="84" spans="5:12">
      <c r="E84" s="152"/>
      <c r="F84" s="152"/>
      <c r="G84" s="152"/>
      <c r="H84" s="152"/>
      <c r="I84" s="152"/>
      <c r="J84" s="152"/>
      <c r="K84" s="152"/>
      <c r="L84" s="252"/>
    </row>
    <row r="85" spans="5:12">
      <c r="E85" s="152"/>
      <c r="F85" s="152"/>
      <c r="G85" s="152"/>
      <c r="H85" s="152"/>
      <c r="I85" s="152"/>
      <c r="J85" s="152"/>
      <c r="K85" s="152"/>
      <c r="L85" s="252"/>
    </row>
    <row r="86" spans="5:12">
      <c r="E86" s="152"/>
      <c r="F86" s="152"/>
      <c r="G86" s="152"/>
      <c r="H86" s="152"/>
      <c r="I86" s="152"/>
      <c r="J86" s="152"/>
      <c r="K86" s="152"/>
      <c r="L86" s="252"/>
    </row>
    <row r="87" spans="5:12">
      <c r="E87" s="152"/>
      <c r="F87" s="152"/>
      <c r="G87" s="152"/>
      <c r="H87" s="152"/>
      <c r="I87" s="152"/>
      <c r="J87" s="152"/>
      <c r="K87" s="152"/>
      <c r="L87" s="252"/>
    </row>
    <row r="88" spans="5:12">
      <c r="E88" s="152"/>
      <c r="F88" s="152"/>
      <c r="G88" s="152"/>
      <c r="H88" s="152"/>
      <c r="I88" s="152"/>
      <c r="J88" s="152"/>
      <c r="K88" s="152"/>
      <c r="L88" s="252"/>
    </row>
    <row r="89" spans="5:12">
      <c r="E89" s="152"/>
      <c r="F89" s="152"/>
      <c r="G89" s="152"/>
      <c r="H89" s="152"/>
      <c r="I89" s="152"/>
      <c r="J89" s="152"/>
      <c r="K89" s="152"/>
      <c r="L89" s="252"/>
    </row>
    <row r="90" spans="5:12">
      <c r="E90" s="152"/>
      <c r="F90" s="152"/>
      <c r="G90" s="152"/>
      <c r="H90" s="152"/>
      <c r="I90" s="152"/>
      <c r="J90" s="152"/>
      <c r="K90" s="152"/>
      <c r="L90" s="252"/>
    </row>
    <row r="91" spans="5:12">
      <c r="E91" s="152"/>
      <c r="F91" s="152"/>
      <c r="G91" s="152"/>
      <c r="H91" s="152"/>
      <c r="I91" s="152"/>
      <c r="J91" s="152"/>
      <c r="K91" s="152"/>
      <c r="L91" s="252"/>
    </row>
    <row r="92" spans="5:12">
      <c r="E92" s="152"/>
      <c r="F92" s="152"/>
      <c r="G92" s="152"/>
      <c r="H92" s="152"/>
      <c r="I92" s="152"/>
      <c r="J92" s="152"/>
      <c r="K92" s="152"/>
      <c r="L92" s="252"/>
    </row>
    <row r="93" spans="5:12">
      <c r="E93" s="152"/>
      <c r="F93" s="152"/>
      <c r="G93" s="152"/>
      <c r="H93" s="152"/>
      <c r="I93" s="152"/>
      <c r="J93" s="152"/>
      <c r="K93" s="152"/>
      <c r="L93" s="252"/>
    </row>
    <row r="94" spans="5:12">
      <c r="E94" s="152"/>
      <c r="F94" s="152"/>
      <c r="G94" s="152"/>
      <c r="H94" s="152"/>
      <c r="I94" s="152"/>
      <c r="J94" s="152"/>
      <c r="K94" s="152"/>
      <c r="L94" s="252"/>
    </row>
    <row r="95" spans="5:12">
      <c r="E95" s="152"/>
      <c r="F95" s="152"/>
      <c r="G95" s="152"/>
      <c r="H95" s="152"/>
      <c r="I95" s="152"/>
      <c r="J95" s="152"/>
      <c r="K95" s="152"/>
      <c r="L95" s="252"/>
    </row>
    <row r="96" spans="5:12">
      <c r="E96" s="152"/>
      <c r="F96" s="152"/>
      <c r="G96" s="152"/>
      <c r="H96" s="152"/>
      <c r="I96" s="152"/>
      <c r="J96" s="152"/>
      <c r="K96" s="152"/>
      <c r="L96" s="252"/>
    </row>
    <row r="97" spans="5:12">
      <c r="E97" s="152"/>
      <c r="F97" s="152"/>
      <c r="G97" s="152"/>
      <c r="H97" s="152"/>
      <c r="I97" s="152"/>
      <c r="J97" s="152"/>
      <c r="K97" s="152"/>
      <c r="L97" s="252"/>
    </row>
    <row r="98" spans="5:12">
      <c r="E98" s="152"/>
      <c r="F98" s="152"/>
      <c r="G98" s="152"/>
      <c r="H98" s="152"/>
      <c r="I98" s="152"/>
      <c r="J98" s="152"/>
      <c r="K98" s="152"/>
      <c r="L98" s="252"/>
    </row>
    <row r="99" spans="5:12">
      <c r="E99" s="152"/>
      <c r="F99" s="152"/>
      <c r="G99" s="152"/>
      <c r="H99" s="152"/>
      <c r="I99" s="152"/>
      <c r="J99" s="152"/>
      <c r="K99" s="152"/>
      <c r="L99" s="252"/>
    </row>
    <row r="100" spans="5:12">
      <c r="E100" s="152"/>
      <c r="F100" s="152"/>
      <c r="G100" s="152"/>
      <c r="H100" s="152"/>
      <c r="I100" s="152"/>
      <c r="J100" s="152"/>
      <c r="K100" s="152"/>
      <c r="L100" s="252"/>
    </row>
    <row r="101" spans="5:12">
      <c r="E101" s="152"/>
      <c r="F101" s="152"/>
      <c r="G101" s="152"/>
      <c r="H101" s="152"/>
      <c r="I101" s="152"/>
      <c r="J101" s="152"/>
      <c r="K101" s="152"/>
      <c r="L101" s="252"/>
    </row>
    <row r="102" spans="5:12">
      <c r="E102" s="152"/>
      <c r="F102" s="152"/>
      <c r="G102" s="152"/>
      <c r="H102" s="152"/>
      <c r="I102" s="152"/>
      <c r="J102" s="152"/>
      <c r="K102" s="152"/>
      <c r="L102" s="252"/>
    </row>
    <row r="103" spans="5:12">
      <c r="E103" s="152"/>
      <c r="F103" s="152"/>
      <c r="G103" s="152"/>
      <c r="H103" s="152"/>
      <c r="I103" s="152"/>
      <c r="J103" s="152"/>
      <c r="K103" s="152"/>
      <c r="L103" s="252"/>
    </row>
    <row r="104" spans="5:12">
      <c r="E104" s="152"/>
      <c r="F104" s="152"/>
      <c r="G104" s="152"/>
      <c r="H104" s="152"/>
      <c r="I104" s="152"/>
      <c r="J104" s="152"/>
      <c r="K104" s="152"/>
      <c r="L104" s="252"/>
    </row>
    <row r="105" spans="5:12">
      <c r="E105" s="152"/>
      <c r="F105" s="152"/>
      <c r="G105" s="152"/>
      <c r="H105" s="152"/>
      <c r="I105" s="152"/>
      <c r="J105" s="152"/>
      <c r="K105" s="152"/>
      <c r="L105" s="252"/>
    </row>
    <row r="106" spans="5:12">
      <c r="E106" s="152"/>
      <c r="F106" s="152"/>
      <c r="G106" s="152"/>
      <c r="H106" s="152"/>
      <c r="I106" s="152"/>
      <c r="J106" s="152"/>
      <c r="K106" s="152"/>
      <c r="L106" s="252"/>
    </row>
    <row r="107" spans="5:12">
      <c r="E107" s="152"/>
      <c r="F107" s="152"/>
      <c r="G107" s="152"/>
      <c r="H107" s="152"/>
      <c r="I107" s="152"/>
      <c r="J107" s="152"/>
      <c r="K107" s="152"/>
      <c r="L107" s="252"/>
    </row>
    <row r="108" spans="5:12">
      <c r="E108" s="152"/>
      <c r="F108" s="152"/>
      <c r="G108" s="152"/>
      <c r="H108" s="152"/>
      <c r="I108" s="152"/>
      <c r="J108" s="152"/>
      <c r="K108" s="152"/>
      <c r="L108" s="252"/>
    </row>
    <row r="109" spans="5:12">
      <c r="E109" s="152"/>
      <c r="F109" s="152"/>
      <c r="G109" s="152"/>
      <c r="H109" s="152"/>
      <c r="I109" s="152"/>
      <c r="J109" s="152"/>
      <c r="K109" s="152"/>
      <c r="L109" s="252"/>
    </row>
    <row r="110" spans="5:12">
      <c r="E110" s="152"/>
      <c r="F110" s="152"/>
      <c r="G110" s="152"/>
      <c r="H110" s="152"/>
      <c r="I110" s="152"/>
      <c r="J110" s="152"/>
      <c r="K110" s="152"/>
      <c r="L110" s="252"/>
    </row>
    <row r="111" spans="5:12">
      <c r="E111" s="152"/>
      <c r="F111" s="152"/>
      <c r="G111" s="152"/>
      <c r="H111" s="152"/>
      <c r="I111" s="152"/>
      <c r="J111" s="152"/>
      <c r="K111" s="152"/>
      <c r="L111" s="252"/>
    </row>
    <row r="112" spans="5:12">
      <c r="E112" s="152"/>
      <c r="F112" s="152"/>
      <c r="G112" s="152"/>
      <c r="H112" s="152"/>
      <c r="I112" s="152"/>
      <c r="J112" s="152"/>
      <c r="K112" s="152"/>
      <c r="L112" s="252"/>
    </row>
    <row r="113" spans="5:12">
      <c r="E113" s="152"/>
      <c r="F113" s="152"/>
      <c r="G113" s="152"/>
      <c r="H113" s="152"/>
      <c r="I113" s="152"/>
      <c r="J113" s="152"/>
      <c r="K113" s="152"/>
      <c r="L113" s="252"/>
    </row>
    <row r="114" spans="5:12">
      <c r="E114" s="152"/>
      <c r="F114" s="152"/>
      <c r="G114" s="152"/>
      <c r="H114" s="152"/>
      <c r="I114" s="152"/>
      <c r="J114" s="152"/>
      <c r="K114" s="152"/>
      <c r="L114" s="252"/>
    </row>
    <row r="115" spans="5:12">
      <c r="E115" s="152"/>
      <c r="F115" s="152"/>
      <c r="G115" s="152"/>
      <c r="H115" s="152"/>
      <c r="I115" s="152"/>
      <c r="J115" s="152"/>
      <c r="K115" s="152"/>
      <c r="L115" s="252"/>
    </row>
    <row r="116" spans="5:12">
      <c r="E116" s="152"/>
      <c r="F116" s="152"/>
      <c r="G116" s="152"/>
      <c r="H116" s="152"/>
      <c r="I116" s="152"/>
      <c r="J116" s="152"/>
      <c r="K116" s="152"/>
      <c r="L116" s="252"/>
    </row>
    <row r="117" spans="5:12">
      <c r="E117" s="152"/>
      <c r="F117" s="152"/>
      <c r="G117" s="152"/>
      <c r="H117" s="152"/>
      <c r="I117" s="152"/>
      <c r="J117" s="152"/>
      <c r="K117" s="152"/>
      <c r="L117" s="252"/>
    </row>
    <row r="118" spans="5:12">
      <c r="E118" s="152"/>
      <c r="F118" s="152"/>
      <c r="G118" s="152"/>
      <c r="H118" s="152"/>
      <c r="I118" s="152"/>
      <c r="J118" s="152"/>
      <c r="K118" s="152"/>
      <c r="L118" s="252"/>
    </row>
    <row r="119" spans="5:12">
      <c r="E119" s="152"/>
      <c r="F119" s="152"/>
      <c r="G119" s="152"/>
      <c r="H119" s="152"/>
      <c r="I119" s="152"/>
      <c r="J119" s="152"/>
      <c r="K119" s="152"/>
      <c r="L119" s="252"/>
    </row>
    <row r="120" spans="5:12">
      <c r="L120" s="252"/>
    </row>
    <row r="121" spans="5:12">
      <c r="L121" s="252"/>
    </row>
    <row r="122" spans="5:12">
      <c r="L122" s="252"/>
    </row>
    <row r="123" spans="5:12">
      <c r="L123" s="252"/>
    </row>
    <row r="124" spans="5:12">
      <c r="L124" s="252"/>
    </row>
    <row r="125" spans="5:12">
      <c r="L125" s="252"/>
    </row>
    <row r="126" spans="5:12">
      <c r="L126" s="252"/>
    </row>
    <row r="127" spans="5:12">
      <c r="L127" s="252"/>
    </row>
    <row r="128" spans="5:12">
      <c r="L128" s="252"/>
    </row>
    <row r="129" spans="12:12">
      <c r="L129" s="252"/>
    </row>
    <row r="130" spans="12:12">
      <c r="L130" s="252"/>
    </row>
    <row r="131" spans="12:12">
      <c r="L131" s="252"/>
    </row>
    <row r="132" spans="12:12">
      <c r="L132" s="252"/>
    </row>
    <row r="133" spans="12:12">
      <c r="L133" s="252"/>
    </row>
    <row r="134" spans="12:12">
      <c r="L134" s="252"/>
    </row>
    <row r="135" spans="12:12">
      <c r="L135" s="252"/>
    </row>
    <row r="136" spans="12:12">
      <c r="L136" s="252"/>
    </row>
    <row r="137" spans="12:12">
      <c r="L137" s="252"/>
    </row>
    <row r="138" spans="12:12">
      <c r="L138" s="252"/>
    </row>
    <row r="139" spans="12:12">
      <c r="L139" s="252"/>
    </row>
    <row r="140" spans="12:12">
      <c r="L140" s="252"/>
    </row>
    <row r="141" spans="12:12">
      <c r="L141" s="252"/>
    </row>
    <row r="142" spans="12:12">
      <c r="L142" s="252"/>
    </row>
    <row r="143" spans="12:12">
      <c r="L143" s="252"/>
    </row>
    <row r="144" spans="12:12">
      <c r="L144" s="252"/>
    </row>
    <row r="145" spans="12:12">
      <c r="L145" s="252"/>
    </row>
    <row r="146" spans="12:12">
      <c r="L146" s="252"/>
    </row>
    <row r="147" spans="12:12">
      <c r="L147" s="252"/>
    </row>
    <row r="148" spans="12:12">
      <c r="L148" s="252"/>
    </row>
    <row r="149" spans="12:12">
      <c r="L149" s="252"/>
    </row>
    <row r="150" spans="12:12">
      <c r="L150" s="252"/>
    </row>
    <row r="151" spans="12:12">
      <c r="L151" s="252"/>
    </row>
    <row r="152" spans="12:12">
      <c r="L152" s="252"/>
    </row>
    <row r="153" spans="12:12">
      <c r="L153" s="252"/>
    </row>
    <row r="154" spans="12:12">
      <c r="L154" s="252"/>
    </row>
    <row r="155" spans="12:12">
      <c r="L155" s="252"/>
    </row>
    <row r="156" spans="12:12">
      <c r="L156" s="252"/>
    </row>
    <row r="157" spans="12:12">
      <c r="L157" s="252"/>
    </row>
    <row r="158" spans="12:12">
      <c r="L158" s="252"/>
    </row>
    <row r="159" spans="12:12">
      <c r="L159" s="252"/>
    </row>
    <row r="160" spans="12:12">
      <c r="L160" s="252"/>
    </row>
    <row r="161" spans="12:12">
      <c r="L161" s="252"/>
    </row>
    <row r="162" spans="12:12">
      <c r="L162" s="252"/>
    </row>
    <row r="163" spans="12:12">
      <c r="L163" s="252"/>
    </row>
    <row r="164" spans="12:12">
      <c r="L164" s="252"/>
    </row>
    <row r="165" spans="12:12">
      <c r="L165" s="252"/>
    </row>
    <row r="166" spans="12:12">
      <c r="L166" s="252"/>
    </row>
    <row r="167" spans="12:12">
      <c r="L167" s="252"/>
    </row>
    <row r="168" spans="12:12">
      <c r="L168" s="252"/>
    </row>
    <row r="169" spans="12:12">
      <c r="L169" s="252"/>
    </row>
    <row r="170" spans="12:12">
      <c r="L170" s="252"/>
    </row>
    <row r="171" spans="12:12">
      <c r="L171" s="252"/>
    </row>
    <row r="172" spans="12:12">
      <c r="L172" s="252"/>
    </row>
    <row r="173" spans="12:12">
      <c r="L173" s="252"/>
    </row>
    <row r="174" spans="12:12">
      <c r="L174" s="252"/>
    </row>
    <row r="175" spans="12:12">
      <c r="L175" s="252"/>
    </row>
    <row r="176" spans="12:12">
      <c r="L176" s="252"/>
    </row>
    <row r="177" spans="12:12">
      <c r="L177" s="252"/>
    </row>
    <row r="178" spans="12:12">
      <c r="L178" s="252"/>
    </row>
    <row r="179" spans="12:12">
      <c r="L179" s="252"/>
    </row>
  </sheetData>
  <mergeCells count="9">
    <mergeCell ref="A51:B51"/>
    <mergeCell ref="A7:A8"/>
    <mergeCell ref="L7:L8"/>
    <mergeCell ref="J7:K8"/>
    <mergeCell ref="A2:L2"/>
    <mergeCell ref="A3:L3"/>
    <mergeCell ref="A4:L4"/>
    <mergeCell ref="A5:L5"/>
    <mergeCell ref="B7:I7"/>
  </mergeCells>
  <pageMargins left="0.196850393700787" right="7.8740157480315001E-2" top="0.98425196850393704" bottom="0.78740157480314998" header="0.511811023622047" footer="0.511811023622047"/>
  <pageSetup paperSize="5" scale="75" firstPageNumber="0" orientation="portrait" useFirstPageNumber="1" r:id="rId1"/>
  <headerFooter alignWithMargins="0"/>
  <ignoredErrors>
    <ignoredError sqref="E9 G36 E36 G9:G11 C39 C9 C11 C13 H39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tabColor theme="6" tint="-0.249977111117893"/>
  </sheetPr>
  <dimension ref="A1:W197"/>
  <sheetViews>
    <sheetView showGridLines="0" showZeros="0" topLeftCell="A150" zoomScale="90" zoomScaleNormal="90" workbookViewId="0">
      <selection activeCell="I161" sqref="I161"/>
    </sheetView>
  </sheetViews>
  <sheetFormatPr baseColWidth="10" defaultColWidth="11.42578125" defaultRowHeight="12.75"/>
  <cols>
    <col min="1" max="1" width="4.85546875" style="151" customWidth="1"/>
    <col min="2" max="2" width="33.42578125" style="151" customWidth="1"/>
    <col min="3" max="3" width="14" style="151" customWidth="1"/>
    <col min="4" max="4" width="12.7109375" style="151" customWidth="1"/>
    <col min="5" max="5" width="12.7109375" style="151" hidden="1" customWidth="1"/>
    <col min="6" max="6" width="14.85546875" style="151" customWidth="1"/>
    <col min="7" max="7" width="14.42578125" style="151" customWidth="1"/>
    <col min="8" max="8" width="14" style="151" customWidth="1"/>
    <col min="9" max="9" width="15.5703125" style="151" customWidth="1"/>
    <col min="10" max="10" width="14.7109375" style="151" customWidth="1"/>
    <col min="11" max="11" width="16.42578125" style="151" customWidth="1"/>
    <col min="12" max="12" width="11.140625" style="151" customWidth="1"/>
    <col min="13" max="13" width="6.85546875" style="151" hidden="1" customWidth="1"/>
    <col min="14" max="14" width="13.28515625" style="151" customWidth="1"/>
    <col min="15" max="15" width="5.140625" hidden="1" customWidth="1"/>
    <col min="16" max="16" width="0.28515625" customWidth="1"/>
    <col min="17" max="17" width="12.5703125" customWidth="1"/>
    <col min="18" max="18" width="13.140625" customWidth="1"/>
    <col min="19" max="19" width="12.140625" bestFit="1" customWidth="1"/>
  </cols>
  <sheetData>
    <row r="1" spans="1:19" hidden="1"/>
    <row r="2" spans="1:19" ht="15.75">
      <c r="A2" s="677" t="s">
        <v>59</v>
      </c>
      <c r="B2" s="677"/>
      <c r="C2" s="677"/>
      <c r="D2" s="677"/>
      <c r="E2" s="677"/>
      <c r="F2" s="677"/>
      <c r="G2" s="677"/>
      <c r="H2" s="677"/>
      <c r="I2" s="677"/>
      <c r="J2" s="677"/>
      <c r="K2" s="677"/>
      <c r="L2" s="677"/>
      <c r="M2" s="677"/>
      <c r="N2" s="677"/>
    </row>
    <row r="3" spans="1:19" ht="15.75">
      <c r="A3" s="677" t="s">
        <v>60</v>
      </c>
      <c r="B3" s="677"/>
      <c r="C3" s="677"/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</row>
    <row r="4" spans="1:19" ht="15">
      <c r="A4" s="678" t="s">
        <v>186</v>
      </c>
      <c r="B4" s="678"/>
      <c r="C4" s="678"/>
      <c r="D4" s="678"/>
      <c r="E4" s="678"/>
      <c r="F4" s="678"/>
      <c r="G4" s="678"/>
      <c r="H4" s="678"/>
      <c r="I4" s="678"/>
      <c r="J4" s="678"/>
      <c r="K4" s="678"/>
      <c r="L4" s="678"/>
      <c r="M4" s="678"/>
      <c r="N4" s="678"/>
      <c r="R4" t="s">
        <v>12</v>
      </c>
    </row>
    <row r="5" spans="1:19" ht="15">
      <c r="A5" s="678" t="s">
        <v>536</v>
      </c>
      <c r="B5" s="678"/>
      <c r="C5" s="678"/>
      <c r="D5" s="678"/>
      <c r="E5" s="678"/>
      <c r="F5" s="678"/>
      <c r="G5" s="678"/>
      <c r="H5" s="678"/>
      <c r="I5" s="678"/>
      <c r="J5" s="678"/>
      <c r="K5" s="678"/>
      <c r="L5" s="678"/>
      <c r="M5" s="678"/>
      <c r="N5" s="678"/>
    </row>
    <row r="6" spans="1:19" ht="6.75" customHeight="1">
      <c r="A6" s="152"/>
      <c r="B6" s="152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</row>
    <row r="7" spans="1:19" ht="0.75" customHeight="1" thickBot="1">
      <c r="A7" s="152"/>
      <c r="B7" s="152"/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</row>
    <row r="8" spans="1:19" ht="12.75" customHeight="1">
      <c r="A8" s="737" t="s">
        <v>187</v>
      </c>
      <c r="B8" s="740" t="s">
        <v>0</v>
      </c>
      <c r="C8" s="727" t="s">
        <v>50</v>
      </c>
      <c r="D8" s="727"/>
      <c r="E8" s="727"/>
      <c r="F8" s="727"/>
      <c r="G8" s="727"/>
      <c r="H8" s="729" t="s">
        <v>188</v>
      </c>
      <c r="I8" s="729"/>
      <c r="J8" s="743" t="s">
        <v>189</v>
      </c>
      <c r="K8" s="729" t="s">
        <v>190</v>
      </c>
      <c r="L8" s="731" t="s">
        <v>42</v>
      </c>
      <c r="M8" s="732"/>
      <c r="N8" s="748" t="s">
        <v>191</v>
      </c>
      <c r="P8" s="726" t="s">
        <v>192</v>
      </c>
    </row>
    <row r="9" spans="1:19" ht="4.5" customHeight="1" thickBot="1">
      <c r="A9" s="738"/>
      <c r="B9" s="741"/>
      <c r="C9" s="728"/>
      <c r="D9" s="728"/>
      <c r="E9" s="728"/>
      <c r="F9" s="728"/>
      <c r="G9" s="728"/>
      <c r="H9" s="730"/>
      <c r="I9" s="730"/>
      <c r="J9" s="744"/>
      <c r="K9" s="746"/>
      <c r="L9" s="733"/>
      <c r="M9" s="734"/>
      <c r="N9" s="749"/>
      <c r="P9" s="726"/>
    </row>
    <row r="10" spans="1:19" ht="23.25" customHeight="1">
      <c r="A10" s="739"/>
      <c r="B10" s="742"/>
      <c r="C10" s="153" t="s">
        <v>2</v>
      </c>
      <c r="D10" s="153" t="s">
        <v>529</v>
      </c>
      <c r="E10" s="153" t="s">
        <v>529</v>
      </c>
      <c r="F10" s="153" t="s">
        <v>3</v>
      </c>
      <c r="G10" s="153" t="s">
        <v>25</v>
      </c>
      <c r="H10" s="154" t="s">
        <v>65</v>
      </c>
      <c r="I10" s="154" t="s">
        <v>117</v>
      </c>
      <c r="J10" s="745"/>
      <c r="K10" s="747"/>
      <c r="L10" s="735"/>
      <c r="M10" s="736"/>
      <c r="N10" s="750"/>
      <c r="P10" s="726"/>
    </row>
    <row r="11" spans="1:19" ht="19.5" customHeight="1">
      <c r="A11" s="155" t="s">
        <v>193</v>
      </c>
      <c r="B11" s="156" t="s">
        <v>194</v>
      </c>
      <c r="C11" s="157">
        <f>SUM(C12+C16+C20+C21+C22+C27+C29)</f>
        <v>125299729</v>
      </c>
      <c r="D11" s="157"/>
      <c r="E11" s="605"/>
      <c r="F11" s="623">
        <f>+F12+F16+F20+F21+F22+F29</f>
        <v>122382084</v>
      </c>
      <c r="G11" s="623">
        <f>SUM(G12+G16+G20+G21+G22+G27+G29)</f>
        <v>109822806</v>
      </c>
      <c r="H11" s="623">
        <f>+H12+H16+H20+H22+H29+H21</f>
        <v>9639374.7200000007</v>
      </c>
      <c r="I11" s="623">
        <f>+P11+H11</f>
        <v>98155855.439999998</v>
      </c>
      <c r="J11" s="623">
        <f>+J12+J16+J20+J21+J22+J29</f>
        <v>85254978.310000002</v>
      </c>
      <c r="K11" s="623">
        <f>SUM(K12+K16+K20+K21+K22+K27+K29)</f>
        <v>94728447.439999998</v>
      </c>
      <c r="L11" s="624">
        <f>+G11-I11</f>
        <v>11666950.560000002</v>
      </c>
      <c r="M11" s="624">
        <f t="shared" ref="M11:M26" si="0">+F11-I11</f>
        <v>24226228.560000002</v>
      </c>
      <c r="N11" s="625">
        <f t="shared" ref="N11:N20" si="1">+I11*100/G11</f>
        <v>89.37656850618076</v>
      </c>
      <c r="O11" s="9" t="s">
        <v>12</v>
      </c>
      <c r="P11" s="9">
        <v>88516480.719999999</v>
      </c>
      <c r="Q11" t="s">
        <v>12</v>
      </c>
      <c r="R11" s="1">
        <v>0</v>
      </c>
      <c r="S11" s="1" t="s">
        <v>12</v>
      </c>
    </row>
    <row r="12" spans="1:19" ht="17.25" customHeight="1">
      <c r="A12" s="158" t="s">
        <v>195</v>
      </c>
      <c r="B12" s="159" t="s">
        <v>196</v>
      </c>
      <c r="C12" s="160">
        <f>SUM(C13:C15)</f>
        <v>83395405</v>
      </c>
      <c r="D12" s="160"/>
      <c r="E12" s="606"/>
      <c r="F12" s="626">
        <f>+F13+F14+F15</f>
        <v>81474320</v>
      </c>
      <c r="G12" s="626">
        <f>SUM(G13:G15)</f>
        <v>74603247</v>
      </c>
      <c r="H12" s="626">
        <f>SUM(H13:H15)</f>
        <v>6940446.1000000006</v>
      </c>
      <c r="I12" s="626">
        <f>+H12+P12</f>
        <v>66699301.030000001</v>
      </c>
      <c r="J12" s="626">
        <f>SUM(J13:J15)</f>
        <v>66732316.420000002</v>
      </c>
      <c r="K12" s="626">
        <f>SUM(K13:K15)</f>
        <v>66699301.030000001</v>
      </c>
      <c r="L12" s="627">
        <f t="shared" ref="L12:L33" si="2">+G12-I12</f>
        <v>7903945.9699999988</v>
      </c>
      <c r="M12" s="627">
        <f t="shared" si="0"/>
        <v>14775018.969999999</v>
      </c>
      <c r="N12" s="628">
        <f t="shared" si="1"/>
        <v>89.405359300246005</v>
      </c>
      <c r="P12" s="111">
        <v>59758854.93</v>
      </c>
      <c r="S12" t="s">
        <v>12</v>
      </c>
    </row>
    <row r="13" spans="1:19">
      <c r="A13" s="161" t="s">
        <v>197</v>
      </c>
      <c r="B13" s="162" t="s">
        <v>196</v>
      </c>
      <c r="C13" s="163">
        <v>71073045</v>
      </c>
      <c r="D13" s="163"/>
      <c r="E13" s="607"/>
      <c r="F13" s="629">
        <v>68825045</v>
      </c>
      <c r="G13" s="629">
        <v>62861972</v>
      </c>
      <c r="H13" s="629">
        <v>5244435.28</v>
      </c>
      <c r="I13" s="630">
        <f t="shared" ref="I13:I15" si="3">+P13+H13</f>
        <v>56451704.560000002</v>
      </c>
      <c r="J13" s="629">
        <v>56482016.619999997</v>
      </c>
      <c r="K13" s="629">
        <v>56451704.560000002</v>
      </c>
      <c r="L13" s="194">
        <f t="shared" si="2"/>
        <v>6410267.4399999976</v>
      </c>
      <c r="M13" s="194">
        <f t="shared" si="0"/>
        <v>12373340.439999998</v>
      </c>
      <c r="N13" s="631">
        <f t="shared" si="1"/>
        <v>89.802630690618486</v>
      </c>
      <c r="P13" s="9">
        <v>51207269.280000001</v>
      </c>
      <c r="Q13" t="s">
        <v>12</v>
      </c>
    </row>
    <row r="14" spans="1:19">
      <c r="A14" s="161" t="s">
        <v>198</v>
      </c>
      <c r="B14" s="162" t="s">
        <v>199</v>
      </c>
      <c r="C14" s="163">
        <v>3944236</v>
      </c>
      <c r="D14" s="163"/>
      <c r="E14" s="607"/>
      <c r="F14" s="629">
        <v>3844236</v>
      </c>
      <c r="G14" s="629">
        <v>3510238</v>
      </c>
      <c r="H14" s="629">
        <v>278950.24</v>
      </c>
      <c r="I14" s="630">
        <f t="shared" si="3"/>
        <v>2803809.4400000004</v>
      </c>
      <c r="J14" s="629">
        <v>2806512.77</v>
      </c>
      <c r="K14" s="629">
        <v>2803809.44</v>
      </c>
      <c r="L14" s="194">
        <f t="shared" si="2"/>
        <v>706428.55999999959</v>
      </c>
      <c r="M14" s="194">
        <f t="shared" si="0"/>
        <v>1040426.5599999996</v>
      </c>
      <c r="N14" s="631">
        <f t="shared" si="1"/>
        <v>79.87519478736202</v>
      </c>
      <c r="P14" s="9">
        <v>2524859.2000000002</v>
      </c>
    </row>
    <row r="15" spans="1:19">
      <c r="A15" s="161" t="s">
        <v>200</v>
      </c>
      <c r="B15" s="162" t="s">
        <v>201</v>
      </c>
      <c r="C15" s="163">
        <v>8378124</v>
      </c>
      <c r="D15" s="163"/>
      <c r="E15" s="607"/>
      <c r="F15" s="629">
        <v>8805039</v>
      </c>
      <c r="G15" s="629">
        <v>8231037</v>
      </c>
      <c r="H15" s="629">
        <v>1417060.58</v>
      </c>
      <c r="I15" s="630">
        <f t="shared" si="3"/>
        <v>7443787.0300000003</v>
      </c>
      <c r="J15" s="629">
        <v>7443787.0300000003</v>
      </c>
      <c r="K15" s="629">
        <v>7443787.0300000003</v>
      </c>
      <c r="L15" s="194">
        <f t="shared" si="2"/>
        <v>787249.96999999974</v>
      </c>
      <c r="M15" s="194">
        <f t="shared" si="0"/>
        <v>1361251.9699999997</v>
      </c>
      <c r="N15" s="631">
        <f t="shared" si="1"/>
        <v>90.43559189443566</v>
      </c>
      <c r="P15" s="9">
        <v>6026726.4500000002</v>
      </c>
    </row>
    <row r="16" spans="1:19" ht="15" customHeight="1">
      <c r="A16" s="164" t="s">
        <v>202</v>
      </c>
      <c r="B16" s="159" t="s">
        <v>203</v>
      </c>
      <c r="C16" s="160">
        <f t="shared" ref="C16:K16" si="4">SUM(C17:C19)</f>
        <v>17439165</v>
      </c>
      <c r="D16" s="160"/>
      <c r="E16" s="606"/>
      <c r="F16" s="626">
        <f t="shared" si="4"/>
        <v>16647165</v>
      </c>
      <c r="G16" s="626">
        <f t="shared" si="4"/>
        <v>15081150</v>
      </c>
      <c r="H16" s="626">
        <f t="shared" si="4"/>
        <v>1367798.58</v>
      </c>
      <c r="I16" s="626">
        <f t="shared" ref="I16:I22" si="5">+H16+P16</f>
        <v>13811594.949999999</v>
      </c>
      <c r="J16" s="626">
        <f t="shared" ref="J16" si="6">SUM(J17:J19)</f>
        <v>13815519.329999998</v>
      </c>
      <c r="K16" s="626">
        <f t="shared" si="4"/>
        <v>13811594.949999999</v>
      </c>
      <c r="L16" s="627">
        <f t="shared" si="2"/>
        <v>1269555.0500000007</v>
      </c>
      <c r="M16" s="627">
        <f t="shared" si="0"/>
        <v>2835570.0500000007</v>
      </c>
      <c r="N16" s="628">
        <f t="shared" si="1"/>
        <v>91.581841901976972</v>
      </c>
      <c r="P16" s="111">
        <v>12443796.369999999</v>
      </c>
    </row>
    <row r="17" spans="1:19" ht="13.9" customHeight="1">
      <c r="A17" s="161" t="s">
        <v>204</v>
      </c>
      <c r="B17" s="162" t="s">
        <v>205</v>
      </c>
      <c r="C17" s="163">
        <v>223154</v>
      </c>
      <c r="D17" s="163"/>
      <c r="E17" s="607"/>
      <c r="F17" s="629">
        <v>223154</v>
      </c>
      <c r="G17" s="629">
        <v>196931</v>
      </c>
      <c r="H17" s="629">
        <v>22320.16</v>
      </c>
      <c r="I17" s="630">
        <f t="shared" si="5"/>
        <v>163792.07</v>
      </c>
      <c r="J17" s="630">
        <v>163941.94</v>
      </c>
      <c r="K17" s="630">
        <v>163792.07</v>
      </c>
      <c r="L17" s="194">
        <f t="shared" si="2"/>
        <v>33138.929999999993</v>
      </c>
      <c r="M17" s="194">
        <f t="shared" si="0"/>
        <v>59361.929999999993</v>
      </c>
      <c r="N17" s="631">
        <f t="shared" si="1"/>
        <v>83.172314160797441</v>
      </c>
      <c r="P17" s="9">
        <v>141471.91</v>
      </c>
    </row>
    <row r="18" spans="1:19" ht="13.9" customHeight="1">
      <c r="A18" s="165" t="s">
        <v>206</v>
      </c>
      <c r="B18" s="162" t="s">
        <v>207</v>
      </c>
      <c r="C18" s="163">
        <v>1488300</v>
      </c>
      <c r="D18" s="163"/>
      <c r="E18" s="607"/>
      <c r="F18" s="629">
        <v>1443300</v>
      </c>
      <c r="G18" s="629">
        <v>1319275</v>
      </c>
      <c r="H18" s="629">
        <v>92888.42</v>
      </c>
      <c r="I18" s="630">
        <f t="shared" si="5"/>
        <v>1054954.5999999999</v>
      </c>
      <c r="J18" s="630">
        <v>1056754.6000000001</v>
      </c>
      <c r="K18" s="630">
        <v>1054954.6000000001</v>
      </c>
      <c r="L18" s="194">
        <f t="shared" si="2"/>
        <v>264320.40000000014</v>
      </c>
      <c r="M18" s="194">
        <f t="shared" si="0"/>
        <v>388345.40000000014</v>
      </c>
      <c r="N18" s="631">
        <f t="shared" si="1"/>
        <v>79.964723048644132</v>
      </c>
      <c r="P18" s="9">
        <v>962066.17999999993</v>
      </c>
    </row>
    <row r="19" spans="1:19" ht="15.6" customHeight="1">
      <c r="A19" s="161" t="s">
        <v>208</v>
      </c>
      <c r="B19" s="162" t="s">
        <v>209</v>
      </c>
      <c r="C19" s="163">
        <v>15727711</v>
      </c>
      <c r="D19" s="163"/>
      <c r="E19" s="607"/>
      <c r="F19" s="629">
        <v>14980711</v>
      </c>
      <c r="G19" s="629">
        <v>13564944</v>
      </c>
      <c r="H19" s="629">
        <v>1252590</v>
      </c>
      <c r="I19" s="630">
        <f t="shared" si="5"/>
        <v>12592848.280000001</v>
      </c>
      <c r="J19" s="630">
        <v>12594822.789999999</v>
      </c>
      <c r="K19" s="630">
        <v>12592848.279999999</v>
      </c>
      <c r="L19" s="194">
        <f t="shared" si="2"/>
        <v>972095.71999999881</v>
      </c>
      <c r="M19" s="194">
        <f t="shared" si="0"/>
        <v>2387862.7199999988</v>
      </c>
      <c r="N19" s="631">
        <f t="shared" si="1"/>
        <v>92.833765329219204</v>
      </c>
      <c r="P19" s="9">
        <v>11340258.280000001</v>
      </c>
    </row>
    <row r="20" spans="1:19">
      <c r="A20" s="164" t="s">
        <v>210</v>
      </c>
      <c r="B20" s="159" t="s">
        <v>211</v>
      </c>
      <c r="C20" s="160">
        <v>228000</v>
      </c>
      <c r="D20" s="160"/>
      <c r="E20" s="606"/>
      <c r="F20" s="632">
        <v>247000</v>
      </c>
      <c r="G20" s="632">
        <v>228000</v>
      </c>
      <c r="H20" s="632">
        <v>18706.669999999998</v>
      </c>
      <c r="I20" s="626">
        <f t="shared" si="5"/>
        <v>206116.66999999998</v>
      </c>
      <c r="J20" s="626">
        <v>209066.67</v>
      </c>
      <c r="K20" s="626">
        <v>206116.67</v>
      </c>
      <c r="L20" s="627">
        <f t="shared" si="2"/>
        <v>21883.330000000016</v>
      </c>
      <c r="M20" s="627">
        <f t="shared" si="0"/>
        <v>40883.330000000016</v>
      </c>
      <c r="N20" s="628">
        <f t="shared" si="1"/>
        <v>90.40204824561404</v>
      </c>
      <c r="P20" s="111">
        <v>187410</v>
      </c>
    </row>
    <row r="21" spans="1:19">
      <c r="A21" s="164" t="s">
        <v>212</v>
      </c>
      <c r="B21" s="159" t="s">
        <v>213</v>
      </c>
      <c r="C21" s="160">
        <v>8407425</v>
      </c>
      <c r="D21" s="160"/>
      <c r="E21" s="606"/>
      <c r="F21" s="632">
        <v>7820865</v>
      </c>
      <c r="G21" s="632">
        <v>5018406</v>
      </c>
      <c r="H21" s="632">
        <v>98.92</v>
      </c>
      <c r="I21" s="626">
        <f t="shared" si="5"/>
        <v>4255548.75</v>
      </c>
      <c r="J21" s="626">
        <v>4255600.83</v>
      </c>
      <c r="K21" s="626">
        <v>4255548.75</v>
      </c>
      <c r="L21" s="627">
        <f t="shared" si="2"/>
        <v>762857.25</v>
      </c>
      <c r="M21" s="627">
        <f t="shared" si="0"/>
        <v>3565316.25</v>
      </c>
      <c r="N21" s="628">
        <f t="shared" ref="N21:N26" si="7">+I21*100/G21</f>
        <v>84.798813607348634</v>
      </c>
      <c r="P21" s="111">
        <v>4255449.83</v>
      </c>
    </row>
    <row r="22" spans="1:19" ht="14.25" customHeight="1">
      <c r="A22" s="158" t="s">
        <v>214</v>
      </c>
      <c r="B22" s="159" t="s">
        <v>215</v>
      </c>
      <c r="C22" s="160">
        <f t="shared" ref="C22:K22" si="8">SUM(C23:C26)</f>
        <v>15829734</v>
      </c>
      <c r="D22" s="160"/>
      <c r="E22" s="606"/>
      <c r="F22" s="626">
        <f t="shared" si="8"/>
        <v>15779734</v>
      </c>
      <c r="G22" s="626">
        <f t="shared" si="8"/>
        <v>14479003</v>
      </c>
      <c r="H22" s="626">
        <f t="shared" si="8"/>
        <v>1310637.3400000001</v>
      </c>
      <c r="I22" s="626">
        <f t="shared" si="5"/>
        <v>12903541.959999999</v>
      </c>
      <c r="J22" s="626"/>
      <c r="K22" s="626">
        <f t="shared" si="8"/>
        <v>9485945.3800000008</v>
      </c>
      <c r="L22" s="627">
        <f t="shared" si="2"/>
        <v>1575461.040000001</v>
      </c>
      <c r="M22" s="627">
        <f t="shared" si="0"/>
        <v>2876192.040000001</v>
      </c>
      <c r="N22" s="628">
        <f t="shared" si="7"/>
        <v>89.118995002625525</v>
      </c>
      <c r="O22" s="6"/>
      <c r="P22" s="111">
        <v>11592904.619999999</v>
      </c>
      <c r="S22">
        <f>258.28-257.88</f>
        <v>0.39999999999997726</v>
      </c>
    </row>
    <row r="23" spans="1:19" ht="15" customHeight="1">
      <c r="A23" s="161" t="s">
        <v>216</v>
      </c>
      <c r="B23" s="163" t="s">
        <v>217</v>
      </c>
      <c r="C23" s="163">
        <v>13304646</v>
      </c>
      <c r="D23" s="163"/>
      <c r="E23" s="607"/>
      <c r="F23" s="629">
        <v>13254646</v>
      </c>
      <c r="G23" s="629">
        <v>12151403</v>
      </c>
      <c r="H23" s="629">
        <v>1109637.57</v>
      </c>
      <c r="I23" s="630">
        <f>+P23+H23</f>
        <v>10969950.09</v>
      </c>
      <c r="J23" s="630">
        <v>0</v>
      </c>
      <c r="K23" s="629">
        <v>8064613.54</v>
      </c>
      <c r="L23" s="194">
        <f t="shared" si="2"/>
        <v>1181452.9100000001</v>
      </c>
      <c r="M23" s="194">
        <f t="shared" si="0"/>
        <v>2284695.91</v>
      </c>
      <c r="N23" s="631">
        <f t="shared" si="7"/>
        <v>90.277230456433713</v>
      </c>
      <c r="P23" s="9">
        <v>9860312.5199999996</v>
      </c>
    </row>
    <row r="24" spans="1:19" ht="13.5" customHeight="1">
      <c r="A24" s="161" t="s">
        <v>218</v>
      </c>
      <c r="B24" s="162" t="s">
        <v>219</v>
      </c>
      <c r="C24" s="163">
        <v>1515055</v>
      </c>
      <c r="D24" s="163"/>
      <c r="E24" s="607"/>
      <c r="F24" s="629">
        <v>1515055</v>
      </c>
      <c r="G24" s="629">
        <v>1397300</v>
      </c>
      <c r="H24" s="629">
        <v>125182.68</v>
      </c>
      <c r="I24" s="630">
        <f t="shared" ref="I24:I33" si="9">+P24+H24</f>
        <v>1208562.46</v>
      </c>
      <c r="J24" s="630">
        <v>0</v>
      </c>
      <c r="K24" s="629">
        <v>872690.83</v>
      </c>
      <c r="L24" s="194">
        <f t="shared" si="2"/>
        <v>188737.54000000004</v>
      </c>
      <c r="M24" s="194">
        <f t="shared" si="0"/>
        <v>306492.54000000004</v>
      </c>
      <c r="N24" s="631">
        <f t="shared" si="7"/>
        <v>86.492697344879417</v>
      </c>
      <c r="P24" s="9">
        <v>1083379.78</v>
      </c>
    </row>
    <row r="25" spans="1:19" ht="13.5" customHeight="1">
      <c r="A25" s="161" t="s">
        <v>220</v>
      </c>
      <c r="B25" s="162" t="s">
        <v>221</v>
      </c>
      <c r="C25" s="163">
        <v>707023</v>
      </c>
      <c r="D25" s="163"/>
      <c r="E25" s="607"/>
      <c r="F25" s="629">
        <v>707023</v>
      </c>
      <c r="G25" s="629">
        <v>651310</v>
      </c>
      <c r="H25" s="629">
        <v>58557.37</v>
      </c>
      <c r="I25" s="630">
        <f t="shared" si="9"/>
        <v>565508.25</v>
      </c>
      <c r="J25" s="630">
        <v>0</v>
      </c>
      <c r="K25" s="629">
        <v>406331.46</v>
      </c>
      <c r="L25" s="194">
        <v>42469.75</v>
      </c>
      <c r="M25" s="194">
        <f t="shared" si="0"/>
        <v>141514.75</v>
      </c>
      <c r="N25" s="631">
        <f t="shared" si="7"/>
        <v>86.826280880072474</v>
      </c>
      <c r="P25" s="9">
        <v>506950.88</v>
      </c>
    </row>
    <row r="26" spans="1:19" ht="13.5" customHeight="1">
      <c r="A26" s="161" t="s">
        <v>222</v>
      </c>
      <c r="B26" s="162" t="s">
        <v>223</v>
      </c>
      <c r="C26" s="163">
        <v>303010</v>
      </c>
      <c r="D26" s="163"/>
      <c r="E26" s="607"/>
      <c r="F26" s="629">
        <v>303010</v>
      </c>
      <c r="G26" s="629">
        <v>278990</v>
      </c>
      <c r="H26" s="629">
        <v>17259.72</v>
      </c>
      <c r="I26" s="630">
        <f t="shared" si="9"/>
        <v>159521.16</v>
      </c>
      <c r="J26" s="630">
        <v>0</v>
      </c>
      <c r="K26" s="629">
        <v>142309.54999999999</v>
      </c>
      <c r="L26" s="194">
        <f t="shared" si="2"/>
        <v>119468.84</v>
      </c>
      <c r="M26" s="194">
        <f t="shared" si="0"/>
        <v>143488.84</v>
      </c>
      <c r="N26" s="631">
        <f t="shared" si="7"/>
        <v>57.178092404745691</v>
      </c>
      <c r="P26" s="9">
        <v>142261.44</v>
      </c>
    </row>
    <row r="27" spans="1:19" ht="1.5" hidden="1" customHeight="1">
      <c r="A27" s="158" t="s">
        <v>224</v>
      </c>
      <c r="B27" s="159" t="s">
        <v>225</v>
      </c>
      <c r="C27" s="160">
        <f>SUM(C28:C28)</f>
        <v>0</v>
      </c>
      <c r="D27" s="160"/>
      <c r="E27" s="606"/>
      <c r="F27" s="626" t="e">
        <f>SUM(F28:F28)</f>
        <v>#REF!</v>
      </c>
      <c r="G27" s="626">
        <v>0</v>
      </c>
      <c r="H27" s="626">
        <v>0</v>
      </c>
      <c r="I27" s="626">
        <f t="shared" si="9"/>
        <v>0</v>
      </c>
      <c r="J27" s="626"/>
      <c r="K27" s="626">
        <f>SUM(K28)</f>
        <v>0</v>
      </c>
      <c r="L27" s="627">
        <f t="shared" si="2"/>
        <v>0</v>
      </c>
      <c r="M27" s="627" t="e">
        <f>SUM(M28:M28)</f>
        <v>#REF!</v>
      </c>
      <c r="N27" s="631"/>
      <c r="P27" s="9">
        <v>0</v>
      </c>
    </row>
    <row r="28" spans="1:19" ht="9.75" hidden="1" customHeight="1">
      <c r="A28" s="161" t="s">
        <v>226</v>
      </c>
      <c r="B28" s="162" t="s">
        <v>227</v>
      </c>
      <c r="C28" s="163">
        <v>0</v>
      </c>
      <c r="D28" s="163"/>
      <c r="E28" s="607"/>
      <c r="F28" s="630" t="e">
        <f>+C28+#REF!</f>
        <v>#REF!</v>
      </c>
      <c r="G28" s="630">
        <v>0</v>
      </c>
      <c r="H28" s="630">
        <v>0</v>
      </c>
      <c r="I28" s="630">
        <f t="shared" si="9"/>
        <v>0</v>
      </c>
      <c r="J28" s="630"/>
      <c r="K28" s="630">
        <v>0</v>
      </c>
      <c r="L28" s="194">
        <f t="shared" si="2"/>
        <v>0</v>
      </c>
      <c r="M28" s="194" t="e">
        <f t="shared" ref="M28:M33" si="10">+F28-I28</f>
        <v>#REF!</v>
      </c>
      <c r="N28" s="631"/>
      <c r="P28" s="9">
        <v>0</v>
      </c>
    </row>
    <row r="29" spans="1:19" ht="13.5" customHeight="1">
      <c r="A29" s="158" t="s">
        <v>228</v>
      </c>
      <c r="B29" s="159" t="s">
        <v>229</v>
      </c>
      <c r="C29" s="163">
        <v>0</v>
      </c>
      <c r="D29" s="163"/>
      <c r="E29" s="607"/>
      <c r="F29" s="626">
        <f>SUM(F30:F34)</f>
        <v>413000</v>
      </c>
      <c r="G29" s="626">
        <f>SUM(G30:G34)</f>
        <v>413000</v>
      </c>
      <c r="H29" s="626">
        <f>SUM(H30:H34)</f>
        <v>1687.1100000000001</v>
      </c>
      <c r="I29" s="626">
        <f t="shared" si="9"/>
        <v>279752.08</v>
      </c>
      <c r="J29" s="626">
        <f>+J30+J31+J32+J33</f>
        <v>242475.06000000003</v>
      </c>
      <c r="K29" s="626">
        <f>SUM(K30:K34)</f>
        <v>269940.66000000003</v>
      </c>
      <c r="L29" s="627">
        <f t="shared" si="2"/>
        <v>133247.91999999998</v>
      </c>
      <c r="M29" s="627">
        <f t="shared" si="10"/>
        <v>133247.91999999998</v>
      </c>
      <c r="N29" s="628">
        <f t="shared" ref="N29" si="11">+I29*100/G29</f>
        <v>67.736581113801449</v>
      </c>
      <c r="P29" s="111">
        <v>278064.97000000003</v>
      </c>
    </row>
    <row r="30" spans="1:19" ht="14.1" customHeight="1">
      <c r="A30" s="161" t="s">
        <v>230</v>
      </c>
      <c r="B30" s="162" t="s">
        <v>231</v>
      </c>
      <c r="C30" s="163">
        <v>0</v>
      </c>
      <c r="D30" s="163"/>
      <c r="E30" s="607"/>
      <c r="F30" s="629">
        <v>266000</v>
      </c>
      <c r="G30" s="629">
        <v>266000</v>
      </c>
      <c r="H30" s="629">
        <v>1184.57</v>
      </c>
      <c r="I30" s="630">
        <f t="shared" si="9"/>
        <v>194887.07</v>
      </c>
      <c r="J30" s="629">
        <v>194887.07</v>
      </c>
      <c r="K30" s="629">
        <v>194887.07</v>
      </c>
      <c r="L30" s="194">
        <f t="shared" si="2"/>
        <v>71112.929999999993</v>
      </c>
      <c r="M30" s="194">
        <f t="shared" si="10"/>
        <v>71112.929999999993</v>
      </c>
      <c r="N30" s="631">
        <f t="shared" ref="N30:N34" si="12">+I30*100/G30</f>
        <v>73.265815789473677</v>
      </c>
      <c r="P30" s="9">
        <v>193702.5</v>
      </c>
    </row>
    <row r="31" spans="1:19" ht="14.1" customHeight="1">
      <c r="A31" s="161" t="s">
        <v>232</v>
      </c>
      <c r="B31" s="162" t="s">
        <v>233</v>
      </c>
      <c r="C31" s="163">
        <v>0</v>
      </c>
      <c r="D31" s="163"/>
      <c r="E31" s="607"/>
      <c r="F31" s="629">
        <v>12000</v>
      </c>
      <c r="G31" s="629">
        <v>12000</v>
      </c>
      <c r="H31" s="629"/>
      <c r="I31" s="630">
        <f t="shared" si="9"/>
        <v>10478.280000000001</v>
      </c>
      <c r="J31" s="629">
        <v>10478.280000000001</v>
      </c>
      <c r="K31" s="629">
        <v>10478.280000000001</v>
      </c>
      <c r="L31" s="194">
        <f t="shared" si="2"/>
        <v>1521.7199999999993</v>
      </c>
      <c r="M31" s="194">
        <f t="shared" si="10"/>
        <v>1521.7199999999993</v>
      </c>
      <c r="N31" s="631">
        <f t="shared" si="12"/>
        <v>87.319000000000003</v>
      </c>
      <c r="P31" s="9">
        <v>10478.280000000001</v>
      </c>
    </row>
    <row r="32" spans="1:19" ht="14.1" customHeight="1">
      <c r="A32" s="161" t="s">
        <v>234</v>
      </c>
      <c r="B32" s="162" t="s">
        <v>235</v>
      </c>
      <c r="C32" s="163">
        <v>0</v>
      </c>
      <c r="D32" s="163"/>
      <c r="E32" s="607"/>
      <c r="F32" s="629">
        <v>5000</v>
      </c>
      <c r="G32" s="629">
        <v>5000</v>
      </c>
      <c r="H32" s="629"/>
      <c r="I32" s="630">
        <f t="shared" si="9"/>
        <v>3356.67</v>
      </c>
      <c r="J32" s="629">
        <v>3356.67</v>
      </c>
      <c r="K32" s="629">
        <v>3356.67</v>
      </c>
      <c r="L32" s="194">
        <f t="shared" si="2"/>
        <v>1643.33</v>
      </c>
      <c r="M32" s="194">
        <f t="shared" si="10"/>
        <v>1643.33</v>
      </c>
      <c r="N32" s="631">
        <f t="shared" si="12"/>
        <v>67.133399999999995</v>
      </c>
      <c r="P32" s="9">
        <v>3356.67</v>
      </c>
    </row>
    <row r="33" spans="1:20" ht="12" customHeight="1">
      <c r="A33" s="161" t="s">
        <v>236</v>
      </c>
      <c r="B33" s="162" t="s">
        <v>237</v>
      </c>
      <c r="C33" s="163">
        <v>0</v>
      </c>
      <c r="D33" s="163"/>
      <c r="E33" s="607"/>
      <c r="F33" s="629">
        <v>55000</v>
      </c>
      <c r="G33" s="629">
        <v>55000</v>
      </c>
      <c r="H33" s="629">
        <v>276.89</v>
      </c>
      <c r="I33" s="630">
        <f t="shared" si="9"/>
        <v>33753.040000000001</v>
      </c>
      <c r="J33" s="629">
        <v>33753.040000000001</v>
      </c>
      <c r="K33" s="629">
        <v>33753.040000000001</v>
      </c>
      <c r="L33" s="194">
        <f t="shared" si="2"/>
        <v>21246.959999999999</v>
      </c>
      <c r="M33" s="194">
        <f t="shared" si="10"/>
        <v>21246.959999999999</v>
      </c>
      <c r="N33" s="631">
        <f t="shared" si="12"/>
        <v>61.369163636363638</v>
      </c>
      <c r="P33" s="9">
        <v>33476.15</v>
      </c>
    </row>
    <row r="34" spans="1:20" ht="14.1" customHeight="1">
      <c r="A34" s="161" t="s">
        <v>238</v>
      </c>
      <c r="B34" s="162" t="s">
        <v>239</v>
      </c>
      <c r="C34" s="163">
        <v>0</v>
      </c>
      <c r="D34" s="163"/>
      <c r="E34" s="607"/>
      <c r="F34" s="629">
        <v>75000</v>
      </c>
      <c r="G34" s="629">
        <v>75000</v>
      </c>
      <c r="H34" s="629">
        <v>225.65</v>
      </c>
      <c r="I34" s="630">
        <f>+P34+H34</f>
        <v>37277.020000000004</v>
      </c>
      <c r="J34" s="629"/>
      <c r="K34" s="629">
        <v>27465.599999999999</v>
      </c>
      <c r="L34" s="194">
        <f>+G34-I34</f>
        <v>37722.979999999996</v>
      </c>
      <c r="M34" s="194">
        <f>+F34-I34</f>
        <v>37722.979999999996</v>
      </c>
      <c r="N34" s="631">
        <f t="shared" si="12"/>
        <v>49.702693333333336</v>
      </c>
      <c r="P34" s="9">
        <v>37051.370000000003</v>
      </c>
    </row>
    <row r="35" spans="1:20" ht="5.25" customHeight="1">
      <c r="A35" s="161"/>
      <c r="B35" s="162"/>
      <c r="C35" s="163"/>
      <c r="D35" s="163"/>
      <c r="E35" s="607"/>
      <c r="F35" s="630"/>
      <c r="G35" s="630"/>
      <c r="H35" s="630">
        <v>0</v>
      </c>
      <c r="I35" s="630"/>
      <c r="J35" s="630"/>
      <c r="K35" s="630"/>
      <c r="L35" s="194"/>
      <c r="M35" s="194"/>
      <c r="N35" s="631"/>
      <c r="P35" s="9"/>
    </row>
    <row r="36" spans="1:20" ht="20.25" customHeight="1">
      <c r="A36" s="166" t="s">
        <v>240</v>
      </c>
      <c r="B36" s="167" t="s">
        <v>241</v>
      </c>
      <c r="C36" s="168">
        <f>C37+C44+C53++C54+C57+C66+C72+C75+C61+C82</f>
        <v>7293008</v>
      </c>
      <c r="D36" s="168">
        <f>+D54+D57+D61+D66+D72+D75</f>
        <v>99335</v>
      </c>
      <c r="E36" s="608">
        <f>+E54+E57+E61+E66+E72+E75</f>
        <v>-99335</v>
      </c>
      <c r="F36" s="633">
        <f>F37+F44+F53++F54+F57+F66+F72+F75+F61+F82</f>
        <v>7406523</v>
      </c>
      <c r="G36" s="633">
        <f>G37+G44+G53++G54+G57+G66+G72+G75+G61+G82</f>
        <v>7406523</v>
      </c>
      <c r="H36" s="633">
        <f>H37+H44+H53++H54+H57+H66+H72+H75+H61+H82</f>
        <v>442488.59</v>
      </c>
      <c r="I36" s="633">
        <f>P36+H36</f>
        <v>5741023.3699999992</v>
      </c>
      <c r="J36" s="633">
        <f>J37+J44+J53++J54+J57+J66+J72+J75+J61+J82</f>
        <v>5036395.9600000018</v>
      </c>
      <c r="K36" s="633">
        <f>K37+K44+K53++K54+K57+K66+K72+K75+K61+K82</f>
        <v>4239355.49</v>
      </c>
      <c r="L36" s="634">
        <f>L37+L44+L53++L54+L57+L66+L72+L75+L61+L82</f>
        <v>1665499.63</v>
      </c>
      <c r="M36" s="634">
        <f>M37+M44+M53++M54+M57+M66+M72+M75+M61+M82</f>
        <v>1665499.63</v>
      </c>
      <c r="N36" s="635">
        <f>+I36*100/G36</f>
        <v>77.513070168012689</v>
      </c>
      <c r="O36" s="9" t="s">
        <v>12</v>
      </c>
      <c r="P36" s="9">
        <f>5294870.26+3123+21+520.52</f>
        <v>5298534.7799999993</v>
      </c>
      <c r="Q36" s="536" t="s">
        <v>12</v>
      </c>
      <c r="R36" s="9"/>
      <c r="S36" s="536" t="s">
        <v>12</v>
      </c>
      <c r="T36" s="9"/>
    </row>
    <row r="37" spans="1:20" ht="15.75" customHeight="1">
      <c r="A37" s="158">
        <v>100</v>
      </c>
      <c r="B37" s="159" t="s">
        <v>242</v>
      </c>
      <c r="C37" s="160">
        <f>SUM(C38:C43)</f>
        <v>151437</v>
      </c>
      <c r="D37" s="160"/>
      <c r="E37" s="606"/>
      <c r="F37" s="626">
        <f>SUM(F38:F43)</f>
        <v>88787</v>
      </c>
      <c r="G37" s="626">
        <f>SUM(G38:G43)</f>
        <v>88787</v>
      </c>
      <c r="H37" s="636">
        <f>+H43</f>
        <v>0</v>
      </c>
      <c r="I37" s="626">
        <f>+P37+H37</f>
        <v>62931.11</v>
      </c>
      <c r="J37" s="626">
        <f>SUM(J38:J43)</f>
        <v>52846.83</v>
      </c>
      <c r="K37" s="626">
        <f>SUM(K38:K43)</f>
        <v>51012.85</v>
      </c>
      <c r="L37" s="627">
        <f t="shared" ref="L37:L51" si="13">+G37-I37</f>
        <v>25855.89</v>
      </c>
      <c r="M37" s="627">
        <f t="shared" ref="M37:M50" si="14">+F37-I37</f>
        <v>25855.89</v>
      </c>
      <c r="N37" s="631">
        <f>+I37*100/G37</f>
        <v>70.878743509748048</v>
      </c>
      <c r="P37" s="111">
        <v>62931.11</v>
      </c>
      <c r="S37" s="1"/>
    </row>
    <row r="38" spans="1:20" ht="15" customHeight="1">
      <c r="A38" s="169" t="s">
        <v>243</v>
      </c>
      <c r="B38" s="163" t="s">
        <v>244</v>
      </c>
      <c r="C38" s="163">
        <v>3000</v>
      </c>
      <c r="D38" s="163"/>
      <c r="E38" s="607"/>
      <c r="F38" s="629">
        <v>12500</v>
      </c>
      <c r="G38" s="629">
        <v>12500</v>
      </c>
      <c r="H38" s="630"/>
      <c r="I38" s="630">
        <f t="shared" ref="I38:I43" si="15">+P38+H38</f>
        <v>8153.53</v>
      </c>
      <c r="J38" s="629">
        <v>8153.53</v>
      </c>
      <c r="K38" s="629">
        <v>8153.53</v>
      </c>
      <c r="L38" s="194">
        <f t="shared" si="13"/>
        <v>4346.47</v>
      </c>
      <c r="M38" s="194">
        <f t="shared" si="14"/>
        <v>4346.47</v>
      </c>
      <c r="N38" s="631">
        <f>+I38*100/G38</f>
        <v>65.22824</v>
      </c>
      <c r="P38" s="9">
        <v>8153.53</v>
      </c>
    </row>
    <row r="39" spans="1:20" ht="13.5" customHeight="1">
      <c r="A39" s="161" t="s">
        <v>245</v>
      </c>
      <c r="B39" s="162" t="s">
        <v>246</v>
      </c>
      <c r="C39" s="163">
        <v>2000</v>
      </c>
      <c r="D39" s="163"/>
      <c r="E39" s="607"/>
      <c r="F39" s="629">
        <v>12600</v>
      </c>
      <c r="G39" s="629">
        <v>12600</v>
      </c>
      <c r="H39" s="630"/>
      <c r="I39" s="630">
        <f t="shared" si="15"/>
        <v>7183.98</v>
      </c>
      <c r="J39" s="629">
        <v>4562.4799999999996</v>
      </c>
      <c r="K39" s="629">
        <v>2728.5</v>
      </c>
      <c r="L39" s="194">
        <f t="shared" si="13"/>
        <v>5416.02</v>
      </c>
      <c r="M39" s="194">
        <f t="shared" si="14"/>
        <v>5416.02</v>
      </c>
      <c r="N39" s="631">
        <f>+I39*100/G39</f>
        <v>57.015714285714289</v>
      </c>
      <c r="P39" s="9">
        <v>7183.98</v>
      </c>
      <c r="R39" s="9"/>
      <c r="S39" s="248" t="s">
        <v>12</v>
      </c>
    </row>
    <row r="40" spans="1:20" ht="11.25" customHeight="1">
      <c r="A40" s="161" t="s">
        <v>247</v>
      </c>
      <c r="B40" s="162" t="s">
        <v>248</v>
      </c>
      <c r="C40" s="163">
        <v>79362</v>
      </c>
      <c r="D40" s="163"/>
      <c r="E40" s="607"/>
      <c r="F40" s="629">
        <v>17062</v>
      </c>
      <c r="G40" s="629">
        <v>17062</v>
      </c>
      <c r="H40" s="630">
        <v>0</v>
      </c>
      <c r="I40" s="630">
        <f t="shared" si="15"/>
        <v>10984.130000000001</v>
      </c>
      <c r="J40" s="629">
        <v>10384.11</v>
      </c>
      <c r="K40" s="629">
        <v>10384.11</v>
      </c>
      <c r="L40" s="194">
        <f t="shared" si="13"/>
        <v>6077.869999999999</v>
      </c>
      <c r="M40" s="194">
        <f t="shared" si="14"/>
        <v>6077.869999999999</v>
      </c>
      <c r="N40" s="631">
        <f>+I40*100/G40</f>
        <v>64.377740007033168</v>
      </c>
      <c r="P40" s="9">
        <v>10984.130000000001</v>
      </c>
    </row>
    <row r="41" spans="1:20" ht="15" customHeight="1">
      <c r="A41" s="161" t="s">
        <v>249</v>
      </c>
      <c r="B41" s="162" t="s">
        <v>250</v>
      </c>
      <c r="C41" s="163">
        <v>7450</v>
      </c>
      <c r="D41" s="163"/>
      <c r="E41" s="607"/>
      <c r="F41" s="629"/>
      <c r="G41" s="629"/>
      <c r="H41" s="630"/>
      <c r="I41" s="630">
        <f t="shared" si="15"/>
        <v>0</v>
      </c>
      <c r="J41" s="629"/>
      <c r="K41" s="629"/>
      <c r="L41" s="194">
        <f t="shared" si="13"/>
        <v>0</v>
      </c>
      <c r="M41" s="194">
        <f t="shared" si="14"/>
        <v>0</v>
      </c>
      <c r="N41" s="631"/>
      <c r="P41" s="9">
        <v>0</v>
      </c>
    </row>
    <row r="42" spans="1:20" ht="15" customHeight="1">
      <c r="A42" s="161" t="s">
        <v>251</v>
      </c>
      <c r="B42" s="162" t="s">
        <v>252</v>
      </c>
      <c r="C42" s="163">
        <v>12400</v>
      </c>
      <c r="D42" s="163"/>
      <c r="E42" s="607"/>
      <c r="F42" s="629">
        <v>1000</v>
      </c>
      <c r="G42" s="629">
        <v>1000</v>
      </c>
      <c r="H42" s="630"/>
      <c r="I42" s="630">
        <v>0</v>
      </c>
      <c r="J42" s="629"/>
      <c r="K42" s="629"/>
      <c r="L42" s="194">
        <f t="shared" si="13"/>
        <v>1000</v>
      </c>
      <c r="M42" s="194">
        <f t="shared" si="14"/>
        <v>1000</v>
      </c>
      <c r="N42" s="631"/>
      <c r="P42" s="9">
        <v>0</v>
      </c>
    </row>
    <row r="43" spans="1:20" ht="15.6" customHeight="1">
      <c r="A43" s="161" t="s">
        <v>253</v>
      </c>
      <c r="B43" s="162" t="s">
        <v>254</v>
      </c>
      <c r="C43" s="163">
        <v>47225</v>
      </c>
      <c r="D43" s="163"/>
      <c r="E43" s="607"/>
      <c r="F43" s="629">
        <v>45625</v>
      </c>
      <c r="G43" s="629">
        <v>45625</v>
      </c>
      <c r="H43" s="637">
        <v>0</v>
      </c>
      <c r="I43" s="630">
        <f t="shared" si="15"/>
        <v>36609.47</v>
      </c>
      <c r="J43" s="629">
        <v>29746.71</v>
      </c>
      <c r="K43" s="629">
        <v>29746.71</v>
      </c>
      <c r="L43" s="194">
        <f t="shared" si="13"/>
        <v>9015.5299999999988</v>
      </c>
      <c r="M43" s="194">
        <f t="shared" si="14"/>
        <v>9015.5299999999988</v>
      </c>
      <c r="N43" s="631">
        <f t="shared" ref="N43:N51" si="16">+I43*100/G43</f>
        <v>80.239934246575345</v>
      </c>
      <c r="P43" s="9">
        <v>36609.47</v>
      </c>
    </row>
    <row r="44" spans="1:20">
      <c r="A44" s="170" t="s">
        <v>255</v>
      </c>
      <c r="B44" s="160" t="s">
        <v>256</v>
      </c>
      <c r="C44" s="160">
        <f>SUM(C45:C52)</f>
        <v>2652943</v>
      </c>
      <c r="D44" s="160"/>
      <c r="E44" s="606"/>
      <c r="F44" s="626">
        <f>SUM(F45:F52)</f>
        <v>4435443</v>
      </c>
      <c r="G44" s="626">
        <f>SUM(G45:G52)</f>
        <v>4435443</v>
      </c>
      <c r="H44" s="626">
        <f>SUM(H45:H52)</f>
        <v>386438.44</v>
      </c>
      <c r="I44" s="626">
        <f>P44+H44</f>
        <v>3726112.2600000002</v>
      </c>
      <c r="J44" s="626">
        <f>SUM(J45:J52)</f>
        <v>3616050.3300000005</v>
      </c>
      <c r="K44" s="626">
        <f>SUM(K45:K52)</f>
        <v>2967498.5199999996</v>
      </c>
      <c r="L44" s="627">
        <f t="shared" si="13"/>
        <v>709330.73999999976</v>
      </c>
      <c r="M44" s="627">
        <f t="shared" si="14"/>
        <v>709330.73999999976</v>
      </c>
      <c r="N44" s="628">
        <f t="shared" si="16"/>
        <v>84.007668681572511</v>
      </c>
      <c r="O44" s="9" t="s">
        <v>12</v>
      </c>
      <c r="P44" s="111">
        <v>3339673.8200000003</v>
      </c>
      <c r="Q44" s="9"/>
      <c r="R44" s="9"/>
      <c r="S44" s="9"/>
    </row>
    <row r="45" spans="1:20" ht="12" customHeight="1">
      <c r="A45" s="169" t="s">
        <v>257</v>
      </c>
      <c r="B45" s="163" t="s">
        <v>258</v>
      </c>
      <c r="C45" s="163">
        <v>109200</v>
      </c>
      <c r="D45" s="163"/>
      <c r="E45" s="607"/>
      <c r="F45" s="629">
        <v>109200</v>
      </c>
      <c r="G45" s="629">
        <v>109200</v>
      </c>
      <c r="H45" s="629">
        <v>9290.75</v>
      </c>
      <c r="I45" s="638">
        <f>+H45+P45</f>
        <v>96064.510000000009</v>
      </c>
      <c r="J45" s="629">
        <v>96064.51</v>
      </c>
      <c r="K45" s="629">
        <v>86773.759999999995</v>
      </c>
      <c r="L45" s="194">
        <f t="shared" si="13"/>
        <v>13135.489999999991</v>
      </c>
      <c r="M45" s="194">
        <f t="shared" si="14"/>
        <v>13135.489999999991</v>
      </c>
      <c r="N45" s="631">
        <f t="shared" si="16"/>
        <v>87.971163003663008</v>
      </c>
      <c r="P45" s="9">
        <v>86773.760000000009</v>
      </c>
    </row>
    <row r="46" spans="1:20" ht="14.25" customHeight="1">
      <c r="A46" s="161" t="s">
        <v>259</v>
      </c>
      <c r="B46" s="162" t="s">
        <v>260</v>
      </c>
      <c r="C46" s="163">
        <v>43100</v>
      </c>
      <c r="D46" s="163"/>
      <c r="E46" s="607"/>
      <c r="F46" s="629">
        <v>54600</v>
      </c>
      <c r="G46" s="629">
        <v>54600</v>
      </c>
      <c r="H46" s="629">
        <v>2000.75</v>
      </c>
      <c r="I46" s="630">
        <f t="shared" ref="I46:I51" si="17">+P46+H46</f>
        <v>17493.439999999999</v>
      </c>
      <c r="J46" s="629">
        <v>15757.44</v>
      </c>
      <c r="K46" s="629">
        <v>10760.54</v>
      </c>
      <c r="L46" s="194">
        <f t="shared" si="13"/>
        <v>37106.559999999998</v>
      </c>
      <c r="M46" s="194">
        <f t="shared" si="14"/>
        <v>37106.559999999998</v>
      </c>
      <c r="N46" s="631">
        <f t="shared" si="16"/>
        <v>32.039267399267395</v>
      </c>
      <c r="P46" s="9">
        <v>15492.689999999999</v>
      </c>
    </row>
    <row r="47" spans="1:20" ht="13.5" customHeight="1">
      <c r="A47" s="161" t="s">
        <v>261</v>
      </c>
      <c r="B47" s="162" t="s">
        <v>262</v>
      </c>
      <c r="C47" s="163">
        <v>4500</v>
      </c>
      <c r="D47" s="163"/>
      <c r="E47" s="607"/>
      <c r="F47" s="629">
        <v>4500</v>
      </c>
      <c r="G47" s="629">
        <v>4500</v>
      </c>
      <c r="H47" s="629"/>
      <c r="I47" s="630">
        <f t="shared" si="17"/>
        <v>50</v>
      </c>
      <c r="J47" s="629">
        <v>50</v>
      </c>
      <c r="K47" s="629">
        <v>50</v>
      </c>
      <c r="L47" s="194">
        <f t="shared" si="13"/>
        <v>4450</v>
      </c>
      <c r="M47" s="194">
        <f t="shared" si="14"/>
        <v>4450</v>
      </c>
      <c r="N47" s="631">
        <f t="shared" si="16"/>
        <v>1.1111111111111112</v>
      </c>
      <c r="P47" s="9">
        <v>50</v>
      </c>
    </row>
    <row r="48" spans="1:20" ht="13.5" customHeight="1">
      <c r="A48" s="161" t="s">
        <v>263</v>
      </c>
      <c r="B48" s="162" t="s">
        <v>264</v>
      </c>
      <c r="C48" s="163">
        <f>2717526-700000</f>
        <v>2017526</v>
      </c>
      <c r="D48" s="163"/>
      <c r="E48" s="607"/>
      <c r="F48" s="629">
        <v>3264526</v>
      </c>
      <c r="G48" s="629">
        <v>3264526</v>
      </c>
      <c r="H48" s="629">
        <v>295599.65000000002</v>
      </c>
      <c r="I48" s="630">
        <f t="shared" si="17"/>
        <v>2736330.2399999998</v>
      </c>
      <c r="J48" s="629">
        <v>2736330.24</v>
      </c>
      <c r="K48" s="629">
        <v>2440730.59</v>
      </c>
      <c r="L48" s="194">
        <f t="shared" si="13"/>
        <v>528195.76000000024</v>
      </c>
      <c r="M48" s="194">
        <f t="shared" si="14"/>
        <v>528195.76000000024</v>
      </c>
      <c r="N48" s="631">
        <f t="shared" si="16"/>
        <v>83.820139279025497</v>
      </c>
      <c r="P48" s="9">
        <v>2440730.59</v>
      </c>
    </row>
    <row r="49" spans="1:23" ht="15" customHeight="1">
      <c r="A49" s="161" t="s">
        <v>265</v>
      </c>
      <c r="B49" s="162" t="s">
        <v>266</v>
      </c>
      <c r="C49" s="163">
        <v>243600</v>
      </c>
      <c r="D49" s="163"/>
      <c r="E49" s="607"/>
      <c r="F49" s="629">
        <v>313600</v>
      </c>
      <c r="G49" s="629">
        <v>313600</v>
      </c>
      <c r="H49" s="629">
        <v>79547.289999999994</v>
      </c>
      <c r="I49" s="639">
        <f t="shared" si="17"/>
        <v>256779.19</v>
      </c>
      <c r="J49" s="629">
        <v>256779.19</v>
      </c>
      <c r="K49" s="629">
        <v>177231.9</v>
      </c>
      <c r="L49" s="194">
        <f t="shared" si="13"/>
        <v>56820.81</v>
      </c>
      <c r="M49" s="194">
        <f t="shared" si="14"/>
        <v>56820.81</v>
      </c>
      <c r="N49" s="631">
        <f t="shared" si="16"/>
        <v>81.881119260204088</v>
      </c>
      <c r="P49" s="9">
        <v>177231.9</v>
      </c>
    </row>
    <row r="50" spans="1:23" ht="13.15" customHeight="1">
      <c r="A50" s="161">
        <v>116</v>
      </c>
      <c r="B50" s="162" t="s">
        <v>267</v>
      </c>
      <c r="C50" s="163">
        <v>204417</v>
      </c>
      <c r="D50" s="163"/>
      <c r="E50" s="607"/>
      <c r="F50" s="629">
        <v>658417</v>
      </c>
      <c r="G50" s="629">
        <v>658417</v>
      </c>
      <c r="H50" s="629"/>
      <c r="I50" s="630">
        <f t="shared" si="17"/>
        <v>612796.72</v>
      </c>
      <c r="J50" s="629">
        <v>504663.39</v>
      </c>
      <c r="K50" s="629">
        <v>251373.93</v>
      </c>
      <c r="L50" s="194">
        <f t="shared" si="13"/>
        <v>45620.280000000028</v>
      </c>
      <c r="M50" s="194">
        <f t="shared" si="14"/>
        <v>45620.280000000028</v>
      </c>
      <c r="N50" s="631">
        <f t="shared" si="16"/>
        <v>93.071217784473973</v>
      </c>
      <c r="P50" s="9">
        <v>612796.72</v>
      </c>
    </row>
    <row r="51" spans="1:23" ht="13.5" customHeight="1">
      <c r="A51" s="161">
        <v>117</v>
      </c>
      <c r="B51" s="162" t="s">
        <v>268</v>
      </c>
      <c r="C51" s="163">
        <v>30000</v>
      </c>
      <c r="D51" s="163"/>
      <c r="E51" s="607"/>
      <c r="F51" s="629">
        <v>30000</v>
      </c>
      <c r="G51" s="629">
        <v>30000</v>
      </c>
      <c r="H51" s="629"/>
      <c r="I51" s="630">
        <f t="shared" si="17"/>
        <v>6598.16</v>
      </c>
      <c r="J51" s="629">
        <v>6405.56</v>
      </c>
      <c r="K51" s="629">
        <v>577.79999999999995</v>
      </c>
      <c r="L51" s="194">
        <f t="shared" si="13"/>
        <v>23401.84</v>
      </c>
      <c r="M51" s="194"/>
      <c r="N51" s="631">
        <f t="shared" si="16"/>
        <v>21.993866666666666</v>
      </c>
      <c r="P51" s="9">
        <v>6598.16</v>
      </c>
    </row>
    <row r="52" spans="1:23" ht="13.5" customHeight="1">
      <c r="A52" s="161">
        <v>119</v>
      </c>
      <c r="B52" s="162" t="s">
        <v>269</v>
      </c>
      <c r="C52" s="163">
        <v>600</v>
      </c>
      <c r="D52" s="163"/>
      <c r="E52" s="607"/>
      <c r="F52" s="629">
        <v>600</v>
      </c>
      <c r="G52" s="629">
        <v>600</v>
      </c>
      <c r="H52" s="629"/>
      <c r="I52" s="630"/>
      <c r="J52" s="630"/>
      <c r="K52" s="630"/>
      <c r="L52" s="194"/>
      <c r="M52" s="194"/>
      <c r="N52" s="631"/>
      <c r="P52" s="9"/>
    </row>
    <row r="53" spans="1:23" ht="12.75" customHeight="1">
      <c r="A53" s="158">
        <v>120</v>
      </c>
      <c r="B53" s="160" t="s">
        <v>270</v>
      </c>
      <c r="C53" s="160">
        <v>87500</v>
      </c>
      <c r="D53" s="160"/>
      <c r="E53" s="606"/>
      <c r="F53" s="626">
        <f>13000+1100+2000+700</f>
        <v>16800</v>
      </c>
      <c r="G53" s="626">
        <v>16800</v>
      </c>
      <c r="H53" s="632">
        <v>1065.72</v>
      </c>
      <c r="I53" s="626">
        <f>+P53+H53</f>
        <v>10916.099999999999</v>
      </c>
      <c r="J53" s="632">
        <v>10763.45</v>
      </c>
      <c r="K53" s="632">
        <v>9607.73</v>
      </c>
      <c r="L53" s="627">
        <f t="shared" ref="L53:L63" si="18">+G53-I53</f>
        <v>5883.9000000000015</v>
      </c>
      <c r="M53" s="627">
        <f t="shared" ref="M53:M66" si="19">+F53-I53</f>
        <v>5883.9000000000015</v>
      </c>
      <c r="N53" s="628">
        <f t="shared" ref="N53:N66" si="20">+I53*100/G53</f>
        <v>64.976785714285697</v>
      </c>
      <c r="O53" s="6"/>
      <c r="P53" s="111">
        <v>9850.3799999999992</v>
      </c>
      <c r="W53">
        <f ca="1">W53</f>
        <v>0</v>
      </c>
    </row>
    <row r="54" spans="1:23" ht="13.5" customHeight="1">
      <c r="A54" s="170" t="s">
        <v>271</v>
      </c>
      <c r="B54" s="160" t="s">
        <v>272</v>
      </c>
      <c r="C54" s="160">
        <f>SUM(C55:C56)</f>
        <v>163284</v>
      </c>
      <c r="D54" s="160">
        <f>+D56</f>
        <v>19200</v>
      </c>
      <c r="E54" s="609">
        <f>+E56</f>
        <v>-19200</v>
      </c>
      <c r="F54" s="626">
        <f>SUM(F55:F56)</f>
        <v>27189</v>
      </c>
      <c r="G54" s="626">
        <f>SUM(G55:G56)</f>
        <v>27189</v>
      </c>
      <c r="H54" s="626"/>
      <c r="I54" s="626">
        <f t="shared" ref="I54:I66" si="21">+P54+H54</f>
        <v>12607.779999999999</v>
      </c>
      <c r="J54" s="626">
        <f>+J55+J56</f>
        <v>12037.24</v>
      </c>
      <c r="K54" s="626">
        <f>SUM(K55:K56)</f>
        <v>11414.92</v>
      </c>
      <c r="L54" s="627">
        <f t="shared" si="18"/>
        <v>14581.220000000001</v>
      </c>
      <c r="M54" s="627">
        <f t="shared" si="19"/>
        <v>14581.220000000001</v>
      </c>
      <c r="N54" s="628">
        <f t="shared" si="20"/>
        <v>46.370885284490051</v>
      </c>
      <c r="O54" s="6"/>
      <c r="P54" s="111">
        <v>12607.779999999999</v>
      </c>
    </row>
    <row r="55" spans="1:23" ht="14.25" customHeight="1">
      <c r="A55" s="161" t="s">
        <v>273</v>
      </c>
      <c r="B55" s="163" t="s">
        <v>274</v>
      </c>
      <c r="C55" s="163">
        <v>81769</v>
      </c>
      <c r="D55" s="163"/>
      <c r="E55" s="607"/>
      <c r="F55" s="629">
        <v>14574</v>
      </c>
      <c r="G55" s="629">
        <v>14574</v>
      </c>
      <c r="H55" s="630"/>
      <c r="I55" s="630">
        <f t="shared" si="21"/>
        <v>8060.28</v>
      </c>
      <c r="J55" s="629">
        <v>7489.74</v>
      </c>
      <c r="K55" s="629">
        <v>6867.42</v>
      </c>
      <c r="L55" s="194">
        <f t="shared" si="18"/>
        <v>6513.72</v>
      </c>
      <c r="M55" s="194">
        <f t="shared" si="19"/>
        <v>6513.72</v>
      </c>
      <c r="N55" s="631">
        <f t="shared" si="20"/>
        <v>55.305887196377107</v>
      </c>
      <c r="O55" s="6"/>
      <c r="P55" s="9">
        <v>8060.28</v>
      </c>
    </row>
    <row r="56" spans="1:23" ht="15" customHeight="1">
      <c r="A56" s="161" t="s">
        <v>275</v>
      </c>
      <c r="B56" s="163" t="s">
        <v>276</v>
      </c>
      <c r="C56" s="163">
        <v>81515</v>
      </c>
      <c r="D56" s="163">
        <v>19200</v>
      </c>
      <c r="E56" s="610">
        <v>-19200</v>
      </c>
      <c r="F56" s="629">
        <v>12615</v>
      </c>
      <c r="G56" s="629">
        <v>12615</v>
      </c>
      <c r="H56" s="630"/>
      <c r="I56" s="630">
        <f t="shared" si="21"/>
        <v>4547.5</v>
      </c>
      <c r="J56" s="629">
        <v>4547.5</v>
      </c>
      <c r="K56" s="629">
        <v>4547.5</v>
      </c>
      <c r="L56" s="194">
        <f t="shared" si="18"/>
        <v>8067.5</v>
      </c>
      <c r="M56" s="194">
        <f t="shared" si="19"/>
        <v>8067.5</v>
      </c>
      <c r="N56" s="631">
        <f t="shared" si="20"/>
        <v>36.04835513277844</v>
      </c>
      <c r="O56" s="6"/>
      <c r="P56" s="9">
        <v>4547.5</v>
      </c>
      <c r="R56" s="9" t="s">
        <v>12</v>
      </c>
    </row>
    <row r="57" spans="1:23">
      <c r="A57" s="170" t="s">
        <v>277</v>
      </c>
      <c r="B57" s="160" t="s">
        <v>278</v>
      </c>
      <c r="C57" s="160">
        <f>SUM(C58:C60)</f>
        <v>981486</v>
      </c>
      <c r="D57" s="160">
        <f>+D60</f>
        <v>7431</v>
      </c>
      <c r="E57" s="609">
        <f>+E60</f>
        <v>-7431</v>
      </c>
      <c r="F57" s="626">
        <f>SUM(F58:F60)</f>
        <v>322905</v>
      </c>
      <c r="G57" s="626">
        <f>SUM(G58:G60)</f>
        <v>322905</v>
      </c>
      <c r="H57" s="626">
        <f>SUM(H58:H60)</f>
        <v>21214</v>
      </c>
      <c r="I57" s="626">
        <f>P57+H57</f>
        <v>258630.5</v>
      </c>
      <c r="J57" s="626">
        <f>SUM(J58:J60)</f>
        <v>258630.5</v>
      </c>
      <c r="K57" s="626">
        <f>SUM(K58:K60)</f>
        <v>258456.5</v>
      </c>
      <c r="L57" s="627">
        <f t="shared" si="18"/>
        <v>64274.5</v>
      </c>
      <c r="M57" s="627">
        <f t="shared" si="19"/>
        <v>64274.5</v>
      </c>
      <c r="N57" s="628">
        <f t="shared" si="20"/>
        <v>80.094919558384049</v>
      </c>
      <c r="O57" s="6"/>
      <c r="P57" s="111">
        <f>234272.5+3144</f>
        <v>237416.5</v>
      </c>
      <c r="Q57" s="536" t="s">
        <v>12</v>
      </c>
      <c r="R57" s="9" t="s">
        <v>12</v>
      </c>
      <c r="S57" s="2" t="s">
        <v>12</v>
      </c>
    </row>
    <row r="58" spans="1:23" ht="15.75" customHeight="1">
      <c r="A58" s="169" t="s">
        <v>279</v>
      </c>
      <c r="B58" s="163" t="s">
        <v>280</v>
      </c>
      <c r="C58" s="163">
        <v>621226</v>
      </c>
      <c r="D58" s="163"/>
      <c r="E58" s="607"/>
      <c r="F58" s="629">
        <v>233576</v>
      </c>
      <c r="G58" s="629">
        <v>233576</v>
      </c>
      <c r="H58" s="629">
        <v>14414</v>
      </c>
      <c r="I58" s="638">
        <f>P58+H58</f>
        <v>209005.5</v>
      </c>
      <c r="J58" s="629">
        <v>209005.5</v>
      </c>
      <c r="K58" s="629">
        <v>208831.5</v>
      </c>
      <c r="L58" s="194">
        <f t="shared" si="18"/>
        <v>24570.5</v>
      </c>
      <c r="M58" s="194">
        <f t="shared" si="19"/>
        <v>24570.5</v>
      </c>
      <c r="N58" s="631">
        <f t="shared" si="20"/>
        <v>89.48072575949584</v>
      </c>
      <c r="P58" s="536">
        <f>191468.5+3123</f>
        <v>194591.5</v>
      </c>
      <c r="Q58" s="171"/>
    </row>
    <row r="59" spans="1:23" ht="13.5" customHeight="1">
      <c r="A59" s="161" t="s">
        <v>281</v>
      </c>
      <c r="B59" s="162" t="s">
        <v>282</v>
      </c>
      <c r="C59" s="163">
        <v>227583</v>
      </c>
      <c r="D59" s="163"/>
      <c r="E59" s="607"/>
      <c r="F59" s="629">
        <v>61783</v>
      </c>
      <c r="G59" s="629">
        <v>61783</v>
      </c>
      <c r="H59" s="629">
        <v>6800</v>
      </c>
      <c r="I59" s="630">
        <f>P59+H59</f>
        <v>38021</v>
      </c>
      <c r="J59" s="629">
        <v>38021</v>
      </c>
      <c r="K59" s="629">
        <v>38021</v>
      </c>
      <c r="L59" s="194">
        <f t="shared" si="18"/>
        <v>23762</v>
      </c>
      <c r="M59" s="194">
        <f t="shared" si="19"/>
        <v>23762</v>
      </c>
      <c r="N59" s="631">
        <f t="shared" si="20"/>
        <v>61.539582085687002</v>
      </c>
      <c r="P59" s="9">
        <f>31200+21</f>
        <v>31221</v>
      </c>
      <c r="R59" s="248" t="s">
        <v>12</v>
      </c>
    </row>
    <row r="60" spans="1:23" ht="12" customHeight="1">
      <c r="A60" s="161">
        <v>143</v>
      </c>
      <c r="B60" s="162" t="s">
        <v>283</v>
      </c>
      <c r="C60" s="163">
        <v>132677</v>
      </c>
      <c r="D60" s="163">
        <v>7431</v>
      </c>
      <c r="E60" s="610">
        <v>-7431</v>
      </c>
      <c r="F60" s="629">
        <v>27546</v>
      </c>
      <c r="G60" s="629">
        <v>27546</v>
      </c>
      <c r="H60" s="629"/>
      <c r="I60" s="630">
        <f>P60+H60</f>
        <v>11604</v>
      </c>
      <c r="J60" s="629">
        <v>11604</v>
      </c>
      <c r="K60" s="629">
        <v>11604</v>
      </c>
      <c r="L60" s="194">
        <f t="shared" si="18"/>
        <v>15942</v>
      </c>
      <c r="M60" s="194">
        <f t="shared" si="19"/>
        <v>15942</v>
      </c>
      <c r="N60" s="631">
        <f t="shared" si="20"/>
        <v>42.125898497059467</v>
      </c>
      <c r="P60" s="9">
        <v>11604</v>
      </c>
      <c r="S60" s="2" t="s">
        <v>12</v>
      </c>
    </row>
    <row r="61" spans="1:23">
      <c r="A61" s="170" t="s">
        <v>284</v>
      </c>
      <c r="B61" s="160" t="s">
        <v>285</v>
      </c>
      <c r="C61" s="160">
        <f>SUM(C62:C64)</f>
        <v>448811</v>
      </c>
      <c r="D61" s="160">
        <f>+D63</f>
        <v>15763</v>
      </c>
      <c r="E61" s="609">
        <f>+E63</f>
        <v>-15763</v>
      </c>
      <c r="F61" s="626">
        <f>SUM(F62:F65)</f>
        <v>163048</v>
      </c>
      <c r="G61" s="626">
        <f>+G62+G63+G64+G65</f>
        <v>163048</v>
      </c>
      <c r="H61" s="626">
        <f>+H62+H63+H64+H65</f>
        <v>7448.28</v>
      </c>
      <c r="I61" s="626">
        <f>P61+H61</f>
        <v>93022.42</v>
      </c>
      <c r="J61" s="626">
        <f>+J62+J63+J64+J65</f>
        <v>57965.689999999995</v>
      </c>
      <c r="K61" s="626">
        <f>SUM(K62:K65)</f>
        <v>56206.33</v>
      </c>
      <c r="L61" s="627">
        <f t="shared" si="18"/>
        <v>70025.58</v>
      </c>
      <c r="M61" s="627">
        <f t="shared" si="19"/>
        <v>70025.58</v>
      </c>
      <c r="N61" s="628">
        <f t="shared" si="20"/>
        <v>57.05216868652176</v>
      </c>
      <c r="O61" s="6"/>
      <c r="P61" s="111">
        <f>85053.62+520.52</f>
        <v>85574.14</v>
      </c>
      <c r="Q61" s="9"/>
      <c r="R61" s="9" t="s">
        <v>12</v>
      </c>
      <c r="S61" s="2" t="s">
        <v>12</v>
      </c>
    </row>
    <row r="62" spans="1:23" ht="15" customHeight="1">
      <c r="A62" s="169" t="s">
        <v>286</v>
      </c>
      <c r="B62" s="163" t="s">
        <v>280</v>
      </c>
      <c r="C62" s="163">
        <v>251809</v>
      </c>
      <c r="D62" s="163"/>
      <c r="E62" s="607"/>
      <c r="F62" s="629">
        <v>87809</v>
      </c>
      <c r="G62" s="629">
        <v>87809</v>
      </c>
      <c r="H62" s="629">
        <v>6729.08</v>
      </c>
      <c r="I62" s="630">
        <f>+P62+H62</f>
        <v>55768.76</v>
      </c>
      <c r="J62" s="629">
        <v>51406.52</v>
      </c>
      <c r="K62" s="629">
        <v>50957.37</v>
      </c>
      <c r="L62" s="194">
        <f t="shared" si="18"/>
        <v>32040.239999999998</v>
      </c>
      <c r="M62" s="194">
        <f t="shared" si="19"/>
        <v>32040.239999999998</v>
      </c>
      <c r="N62" s="631">
        <f t="shared" si="20"/>
        <v>63.511439601863138</v>
      </c>
      <c r="P62" s="9">
        <f>48519.16+520.52</f>
        <v>49039.68</v>
      </c>
      <c r="Q62" s="657" t="s">
        <v>12</v>
      </c>
      <c r="R62" s="9"/>
      <c r="S62" s="9">
        <f>SUM(P62:P65)</f>
        <v>85574.14</v>
      </c>
    </row>
    <row r="63" spans="1:23" ht="12.75" customHeight="1">
      <c r="A63" s="161" t="s">
        <v>287</v>
      </c>
      <c r="B63" s="162" t="s">
        <v>282</v>
      </c>
      <c r="C63" s="163">
        <v>158402</v>
      </c>
      <c r="D63" s="163">
        <v>15763</v>
      </c>
      <c r="E63" s="610">
        <v>-15763</v>
      </c>
      <c r="F63" s="629">
        <v>49339</v>
      </c>
      <c r="G63" s="629">
        <v>49339</v>
      </c>
      <c r="H63" s="629">
        <v>719.2</v>
      </c>
      <c r="I63" s="630">
        <f t="shared" si="21"/>
        <v>29337.91</v>
      </c>
      <c r="J63" s="629">
        <v>4741.5600000000004</v>
      </c>
      <c r="K63" s="629">
        <v>3600</v>
      </c>
      <c r="L63" s="194">
        <f t="shared" si="18"/>
        <v>20001.09</v>
      </c>
      <c r="M63" s="194">
        <f t="shared" si="19"/>
        <v>20001.09</v>
      </c>
      <c r="N63" s="631">
        <f t="shared" si="20"/>
        <v>59.461906402642938</v>
      </c>
      <c r="P63" s="9">
        <v>28618.71</v>
      </c>
    </row>
    <row r="64" spans="1:23" ht="12.75" customHeight="1">
      <c r="A64" s="161">
        <v>153</v>
      </c>
      <c r="B64" s="162" t="s">
        <v>288</v>
      </c>
      <c r="C64" s="163">
        <v>38600</v>
      </c>
      <c r="D64" s="163"/>
      <c r="E64" s="607"/>
      <c r="F64" s="629">
        <v>21600</v>
      </c>
      <c r="G64" s="629">
        <v>21600</v>
      </c>
      <c r="H64" s="629"/>
      <c r="I64" s="630">
        <f t="shared" si="21"/>
        <v>6506.5999999999995</v>
      </c>
      <c r="J64" s="629">
        <v>408.46</v>
      </c>
      <c r="K64" s="629">
        <v>408.46</v>
      </c>
      <c r="L64" s="194" t="s">
        <v>289</v>
      </c>
      <c r="M64" s="194">
        <f t="shared" si="19"/>
        <v>15093.400000000001</v>
      </c>
      <c r="N64" s="631">
        <f t="shared" si="20"/>
        <v>30.123148148148147</v>
      </c>
      <c r="P64" s="9">
        <v>6506.5999999999995</v>
      </c>
    </row>
    <row r="65" spans="1:19" ht="14.1" customHeight="1">
      <c r="A65" s="161">
        <v>154</v>
      </c>
      <c r="B65" s="162" t="s">
        <v>290</v>
      </c>
      <c r="C65" s="163"/>
      <c r="D65" s="163"/>
      <c r="E65" s="607"/>
      <c r="F65" s="629">
        <v>4300</v>
      </c>
      <c r="G65" s="629">
        <v>4300</v>
      </c>
      <c r="H65" s="629"/>
      <c r="I65" s="630">
        <f t="shared" si="21"/>
        <v>1409.1499999999999</v>
      </c>
      <c r="J65" s="629">
        <v>1409.15</v>
      </c>
      <c r="K65" s="629">
        <v>1240.5</v>
      </c>
      <c r="L65" s="194">
        <f>+G65-I65</f>
        <v>2890.8500000000004</v>
      </c>
      <c r="M65" s="194">
        <f t="shared" si="19"/>
        <v>2890.8500000000004</v>
      </c>
      <c r="N65" s="631">
        <f t="shared" si="20"/>
        <v>32.770930232558136</v>
      </c>
      <c r="P65" s="9">
        <v>1409.1499999999999</v>
      </c>
    </row>
    <row r="66" spans="1:19" ht="15.75" customHeight="1">
      <c r="A66" s="170" t="s">
        <v>291</v>
      </c>
      <c r="B66" s="160" t="s">
        <v>292</v>
      </c>
      <c r="C66" s="160">
        <f>SUM(C67:C71)</f>
        <v>1492093</v>
      </c>
      <c r="D66" s="160">
        <f>+D70</f>
        <v>2447</v>
      </c>
      <c r="E66" s="609">
        <f>+E70</f>
        <v>-2447</v>
      </c>
      <c r="F66" s="626">
        <f>SUM(F67:F71)</f>
        <v>1506651</v>
      </c>
      <c r="G66" s="626">
        <f>SUM(G67:G71)</f>
        <v>1506651</v>
      </c>
      <c r="H66" s="626">
        <f>SUM(H67:H71)</f>
        <v>25728.5</v>
      </c>
      <c r="I66" s="626">
        <f t="shared" si="21"/>
        <v>967054.23</v>
      </c>
      <c r="J66" s="626">
        <f>+J67+J68+J69+J71+J70</f>
        <v>606062.6</v>
      </c>
      <c r="K66" s="626">
        <f>+K67+K68+K69+K71+K70</f>
        <v>510647.91000000003</v>
      </c>
      <c r="L66" s="627">
        <f>+G66-I66</f>
        <v>539596.77</v>
      </c>
      <c r="M66" s="627">
        <f t="shared" si="19"/>
        <v>539596.77</v>
      </c>
      <c r="N66" s="628">
        <f t="shared" si="20"/>
        <v>64.185682682983654</v>
      </c>
      <c r="P66" s="111">
        <v>941325.73</v>
      </c>
      <c r="Q66" s="9"/>
      <c r="R66" s="9"/>
    </row>
    <row r="67" spans="1:19" ht="0.75" customHeight="1">
      <c r="A67" s="161">
        <v>162</v>
      </c>
      <c r="B67" s="163" t="s">
        <v>293</v>
      </c>
      <c r="C67" s="163">
        <v>0</v>
      </c>
      <c r="D67" s="163"/>
      <c r="E67" s="607"/>
      <c r="F67" s="630">
        <v>0</v>
      </c>
      <c r="G67" s="630">
        <v>0</v>
      </c>
      <c r="H67" s="630"/>
      <c r="I67" s="630"/>
      <c r="J67" s="630"/>
      <c r="K67" s="630"/>
      <c r="L67" s="194"/>
      <c r="M67" s="627"/>
      <c r="N67" s="628"/>
      <c r="P67" s="9"/>
    </row>
    <row r="68" spans="1:19" ht="13.5" customHeight="1">
      <c r="A68" s="169" t="s">
        <v>294</v>
      </c>
      <c r="B68" s="163" t="s">
        <v>295</v>
      </c>
      <c r="C68" s="163">
        <v>3400</v>
      </c>
      <c r="D68" s="163"/>
      <c r="E68" s="607"/>
      <c r="F68" s="630">
        <v>0</v>
      </c>
      <c r="G68" s="630">
        <v>0</v>
      </c>
      <c r="H68" s="630"/>
      <c r="I68" s="630">
        <f>+P68+H68</f>
        <v>0</v>
      </c>
      <c r="J68" s="630"/>
      <c r="K68" s="630"/>
      <c r="L68" s="194">
        <f>+G68-I68</f>
        <v>0</v>
      </c>
      <c r="M68" s="194">
        <f>+F68-I68</f>
        <v>0</v>
      </c>
      <c r="N68" s="631" t="s">
        <v>12</v>
      </c>
      <c r="P68" s="9">
        <v>0</v>
      </c>
    </row>
    <row r="69" spans="1:19" ht="13.5" customHeight="1">
      <c r="A69" s="169" t="s">
        <v>296</v>
      </c>
      <c r="B69" s="163" t="s">
        <v>297</v>
      </c>
      <c r="C69" s="163">
        <v>106950</v>
      </c>
      <c r="D69" s="163"/>
      <c r="E69" s="607"/>
      <c r="F69" s="629">
        <v>257150</v>
      </c>
      <c r="G69" s="629">
        <v>257150</v>
      </c>
      <c r="H69" s="629"/>
      <c r="I69" s="630">
        <f>+P69+H69</f>
        <v>168609.88</v>
      </c>
      <c r="J69" s="629">
        <v>89832.74</v>
      </c>
      <c r="K69" s="629">
        <v>23075.84</v>
      </c>
      <c r="L69" s="194">
        <f>+G69-I69</f>
        <v>88540.12</v>
      </c>
      <c r="M69" s="194">
        <f>+F69-I69</f>
        <v>88540.12</v>
      </c>
      <c r="N69" s="631">
        <f>+I69*100/G69</f>
        <v>65.568687536457318</v>
      </c>
      <c r="P69" s="9">
        <v>168609.88</v>
      </c>
    </row>
    <row r="70" spans="1:19" ht="15" customHeight="1">
      <c r="A70" s="161">
        <v>165</v>
      </c>
      <c r="B70" s="163" t="s">
        <v>298</v>
      </c>
      <c r="C70" s="163">
        <v>737884</v>
      </c>
      <c r="D70" s="163">
        <v>2447</v>
      </c>
      <c r="E70" s="610">
        <v>-2447</v>
      </c>
      <c r="F70" s="629">
        <v>738455</v>
      </c>
      <c r="G70" s="629">
        <v>738455</v>
      </c>
      <c r="H70" s="629">
        <v>20000</v>
      </c>
      <c r="I70" s="630">
        <f>P70+H70</f>
        <v>533847.97</v>
      </c>
      <c r="J70" s="629">
        <v>411167.81</v>
      </c>
      <c r="K70" s="629">
        <v>409518.78</v>
      </c>
      <c r="L70" s="194">
        <f>+G70-I70</f>
        <v>204607.03000000003</v>
      </c>
      <c r="M70" s="194">
        <f>+F70-I70</f>
        <v>204607.03000000003</v>
      </c>
      <c r="N70" s="631">
        <f>+I70*100/G70</f>
        <v>72.292552694476981</v>
      </c>
      <c r="P70" s="9">
        <v>513847.97</v>
      </c>
      <c r="S70" s="9"/>
    </row>
    <row r="71" spans="1:19" ht="12.75" customHeight="1">
      <c r="A71" s="161" t="s">
        <v>299</v>
      </c>
      <c r="B71" s="162" t="s">
        <v>300</v>
      </c>
      <c r="C71" s="163">
        <v>643859</v>
      </c>
      <c r="D71" s="163"/>
      <c r="E71" s="607"/>
      <c r="F71" s="629">
        <v>511046</v>
      </c>
      <c r="G71" s="629">
        <v>511046</v>
      </c>
      <c r="H71" s="629">
        <v>5728.5</v>
      </c>
      <c r="I71" s="630">
        <f>+H71+P71</f>
        <v>264596.38</v>
      </c>
      <c r="J71" s="629">
        <v>105062.05</v>
      </c>
      <c r="K71" s="629">
        <v>78053.289999999994</v>
      </c>
      <c r="L71" s="194">
        <f>+G71-I71</f>
        <v>246449.62</v>
      </c>
      <c r="M71" s="194">
        <f>+F71-I71</f>
        <v>246449.62</v>
      </c>
      <c r="N71" s="631">
        <f>+I71*100/G71</f>
        <v>51.775452698974263</v>
      </c>
      <c r="P71" s="9">
        <v>258867.88</v>
      </c>
    </row>
    <row r="72" spans="1:19">
      <c r="A72" s="172">
        <v>170</v>
      </c>
      <c r="B72" s="173" t="s">
        <v>301</v>
      </c>
      <c r="C72" s="160">
        <f>SUM(C73:C74)</f>
        <v>305833</v>
      </c>
      <c r="D72" s="160">
        <f>SUM(D73:D74)</f>
        <v>40553</v>
      </c>
      <c r="E72" s="609">
        <f>+E73+E74</f>
        <v>-40553</v>
      </c>
      <c r="F72" s="626">
        <f>+F73+F74</f>
        <v>114855</v>
      </c>
      <c r="G72" s="626">
        <f>SUM(G73:G74)</f>
        <v>114855</v>
      </c>
      <c r="H72" s="626">
        <f>SUM(H73:H74)</f>
        <v>0</v>
      </c>
      <c r="I72" s="626">
        <f>+P72+H72</f>
        <v>52993.74</v>
      </c>
      <c r="J72" s="626">
        <f>+J74</f>
        <v>50361.26</v>
      </c>
      <c r="K72" s="626">
        <f>+K74</f>
        <v>11324.72</v>
      </c>
      <c r="L72" s="627">
        <f>+G72-I72</f>
        <v>61861.26</v>
      </c>
      <c r="M72" s="627">
        <f>+F72-I72</f>
        <v>61861.26</v>
      </c>
      <c r="N72" s="628">
        <f>+I72*100/G72</f>
        <v>46.13968917330547</v>
      </c>
      <c r="P72" s="111">
        <v>52993.74</v>
      </c>
    </row>
    <row r="73" spans="1:19">
      <c r="A73" s="174">
        <v>171</v>
      </c>
      <c r="B73" s="175" t="s">
        <v>302</v>
      </c>
      <c r="C73" s="163">
        <v>137125</v>
      </c>
      <c r="D73" s="163">
        <v>9930</v>
      </c>
      <c r="E73" s="610">
        <v>-9930</v>
      </c>
      <c r="F73" s="629">
        <v>17425</v>
      </c>
      <c r="G73" s="629">
        <v>17425</v>
      </c>
      <c r="H73" s="626"/>
      <c r="I73" s="626"/>
      <c r="J73" s="626"/>
      <c r="K73" s="626"/>
      <c r="L73" s="627"/>
      <c r="M73" s="627"/>
      <c r="N73" s="628"/>
      <c r="P73" s="9"/>
    </row>
    <row r="74" spans="1:19" ht="15" customHeight="1">
      <c r="A74" s="161" t="s">
        <v>303</v>
      </c>
      <c r="B74" s="162" t="s">
        <v>304</v>
      </c>
      <c r="C74" s="163">
        <v>168708</v>
      </c>
      <c r="D74" s="163">
        <v>30623</v>
      </c>
      <c r="E74" s="610">
        <v>-30623</v>
      </c>
      <c r="F74" s="629">
        <v>97430</v>
      </c>
      <c r="G74" s="629">
        <v>97430</v>
      </c>
      <c r="H74" s="630">
        <v>0</v>
      </c>
      <c r="I74" s="630">
        <f t="shared" ref="I74:I77" si="22">+P74+H74</f>
        <v>52993.74</v>
      </c>
      <c r="J74" s="629">
        <v>50361.26</v>
      </c>
      <c r="K74" s="629">
        <v>11324.72</v>
      </c>
      <c r="L74" s="194">
        <f t="shared" ref="L74:L82" si="23">+G74-I74</f>
        <v>44436.26</v>
      </c>
      <c r="M74" s="194">
        <f t="shared" ref="M74:M82" si="24">+F74-I74</f>
        <v>44436.26</v>
      </c>
      <c r="N74" s="631">
        <f>+I74*100/G74</f>
        <v>54.391604228676997</v>
      </c>
      <c r="P74" s="9">
        <v>52993.74</v>
      </c>
    </row>
    <row r="75" spans="1:19">
      <c r="A75" s="170" t="s">
        <v>305</v>
      </c>
      <c r="B75" s="160" t="s">
        <v>306</v>
      </c>
      <c r="C75" s="160">
        <f>SUM(C76:C81)</f>
        <v>1009621</v>
      </c>
      <c r="D75" s="160">
        <f>SUM(D76:D81)</f>
        <v>13941</v>
      </c>
      <c r="E75" s="609">
        <f>+E77+E79+E81</f>
        <v>-13941</v>
      </c>
      <c r="F75" s="626">
        <f>SUM(F76:F81)</f>
        <v>581365</v>
      </c>
      <c r="G75" s="626">
        <f>SUM(G76:G81)</f>
        <v>581365</v>
      </c>
      <c r="H75" s="626">
        <f>SUM(H76:H81)</f>
        <v>529.65</v>
      </c>
      <c r="I75" s="626">
        <f t="shared" si="22"/>
        <v>419268.05000000005</v>
      </c>
      <c r="J75" s="626">
        <f t="shared" ref="J75" si="25">SUM(J76:J81)</f>
        <v>291478.40000000002</v>
      </c>
      <c r="K75" s="626">
        <f t="shared" ref="K75" si="26">SUM(K76:K81)</f>
        <v>259859.65999999997</v>
      </c>
      <c r="L75" s="627">
        <f t="shared" si="23"/>
        <v>162096.94999999995</v>
      </c>
      <c r="M75" s="627">
        <f t="shared" si="24"/>
        <v>162096.94999999995</v>
      </c>
      <c r="N75" s="628">
        <f>+I75*100/G75</f>
        <v>72.117869152769785</v>
      </c>
      <c r="O75" s="6"/>
      <c r="P75" s="111">
        <v>418738.4</v>
      </c>
      <c r="R75" s="9"/>
    </row>
    <row r="76" spans="1:19" ht="14.25" customHeight="1">
      <c r="A76" s="161">
        <v>181</v>
      </c>
      <c r="B76" s="163" t="s">
        <v>307</v>
      </c>
      <c r="C76" s="163">
        <v>150000</v>
      </c>
      <c r="D76" s="163"/>
      <c r="E76" s="607"/>
      <c r="F76" s="629">
        <v>17700</v>
      </c>
      <c r="G76" s="629">
        <v>17700</v>
      </c>
      <c r="H76" s="629"/>
      <c r="I76" s="630">
        <f t="shared" si="22"/>
        <v>10218.5</v>
      </c>
      <c r="J76" s="630"/>
      <c r="K76" s="630">
        <v>0</v>
      </c>
      <c r="L76" s="194">
        <f t="shared" si="23"/>
        <v>7481.5</v>
      </c>
      <c r="M76" s="194">
        <f t="shared" si="24"/>
        <v>7481.5</v>
      </c>
      <c r="N76" s="631" t="s">
        <v>12</v>
      </c>
      <c r="P76" s="9">
        <v>10218.5</v>
      </c>
    </row>
    <row r="77" spans="1:19" ht="14.25" customHeight="1">
      <c r="A77" s="169" t="s">
        <v>308</v>
      </c>
      <c r="B77" s="163" t="s">
        <v>309</v>
      </c>
      <c r="C77" s="163">
        <v>370682</v>
      </c>
      <c r="D77" s="163">
        <v>5141</v>
      </c>
      <c r="E77" s="610">
        <v>-5141</v>
      </c>
      <c r="F77" s="629">
        <v>167641</v>
      </c>
      <c r="G77" s="629">
        <v>167641</v>
      </c>
      <c r="H77" s="629">
        <v>529.65</v>
      </c>
      <c r="I77" s="630">
        <f t="shared" si="22"/>
        <v>136748.45000000001</v>
      </c>
      <c r="J77" s="629">
        <v>100483.08</v>
      </c>
      <c r="K77" s="629">
        <v>81633.73</v>
      </c>
      <c r="L77" s="194">
        <f t="shared" si="23"/>
        <v>30892.549999999988</v>
      </c>
      <c r="M77" s="194">
        <f t="shared" si="24"/>
        <v>30892.549999999988</v>
      </c>
      <c r="N77" s="631">
        <f>+I77*100/G77</f>
        <v>81.572198925083967</v>
      </c>
      <c r="P77" s="9">
        <v>136218.80000000002</v>
      </c>
    </row>
    <row r="78" spans="1:19" ht="12.75" customHeight="1">
      <c r="A78" s="161">
        <v>183</v>
      </c>
      <c r="B78" s="163" t="s">
        <v>310</v>
      </c>
      <c r="C78" s="163">
        <v>25883</v>
      </c>
      <c r="D78" s="163"/>
      <c r="E78" s="610"/>
      <c r="F78" s="629">
        <v>2883</v>
      </c>
      <c r="G78" s="629">
        <v>2883</v>
      </c>
      <c r="H78" s="629"/>
      <c r="I78" s="630">
        <f t="shared" ref="I78:I80" si="27">+P78+H78</f>
        <v>0</v>
      </c>
      <c r="J78" s="629"/>
      <c r="K78" s="629"/>
      <c r="L78" s="194">
        <f t="shared" si="23"/>
        <v>2883</v>
      </c>
      <c r="M78" s="194">
        <f t="shared" si="24"/>
        <v>2883</v>
      </c>
      <c r="N78" s="631">
        <f t="shared" ref="N78:N82" si="28">+I78*100/G78</f>
        <v>0</v>
      </c>
      <c r="P78" s="9">
        <v>0</v>
      </c>
    </row>
    <row r="79" spans="1:19" ht="12" customHeight="1">
      <c r="A79" s="161">
        <v>184</v>
      </c>
      <c r="B79" s="163" t="s">
        <v>311</v>
      </c>
      <c r="C79" s="163">
        <v>58665</v>
      </c>
      <c r="D79" s="163">
        <v>6800</v>
      </c>
      <c r="E79" s="610">
        <v>-6800</v>
      </c>
      <c r="F79" s="629">
        <v>1065</v>
      </c>
      <c r="G79" s="629">
        <v>1065</v>
      </c>
      <c r="H79" s="629"/>
      <c r="I79" s="630">
        <f t="shared" si="27"/>
        <v>0</v>
      </c>
      <c r="J79" s="629"/>
      <c r="K79" s="629"/>
      <c r="L79" s="194">
        <f t="shared" si="23"/>
        <v>1065</v>
      </c>
      <c r="M79" s="194">
        <f t="shared" si="24"/>
        <v>1065</v>
      </c>
      <c r="N79" s="631">
        <f t="shared" si="28"/>
        <v>0</v>
      </c>
      <c r="P79" s="9">
        <v>0</v>
      </c>
    </row>
    <row r="80" spans="1:19" ht="12.75" customHeight="1">
      <c r="A80" s="161">
        <v>185</v>
      </c>
      <c r="B80" s="163" t="s">
        <v>312</v>
      </c>
      <c r="C80" s="163">
        <v>24831</v>
      </c>
      <c r="D80" s="163"/>
      <c r="E80" s="610"/>
      <c r="F80" s="629">
        <v>39831</v>
      </c>
      <c r="G80" s="629">
        <v>39831</v>
      </c>
      <c r="H80" s="629"/>
      <c r="I80" s="630">
        <f t="shared" si="27"/>
        <v>33670.53</v>
      </c>
      <c r="J80" s="629">
        <v>24926.53</v>
      </c>
      <c r="K80" s="629">
        <v>22957.19</v>
      </c>
      <c r="L80" s="194">
        <f t="shared" si="23"/>
        <v>6160.4700000000012</v>
      </c>
      <c r="M80" s="194">
        <f t="shared" si="24"/>
        <v>6160.4700000000012</v>
      </c>
      <c r="N80" s="631">
        <f t="shared" si="28"/>
        <v>84.533478948557658</v>
      </c>
      <c r="P80" s="9">
        <v>33670.53</v>
      </c>
    </row>
    <row r="81" spans="1:20" ht="15.75" customHeight="1">
      <c r="A81" s="161">
        <v>189</v>
      </c>
      <c r="B81" s="162" t="s">
        <v>313</v>
      </c>
      <c r="C81" s="163">
        <v>379560</v>
      </c>
      <c r="D81" s="163">
        <v>2000</v>
      </c>
      <c r="E81" s="610">
        <v>-2000</v>
      </c>
      <c r="F81" s="629">
        <v>352245</v>
      </c>
      <c r="G81" s="629">
        <v>352245</v>
      </c>
      <c r="H81" s="629"/>
      <c r="I81" s="638">
        <f>+H81+P81</f>
        <v>238630.56999999998</v>
      </c>
      <c r="J81" s="629">
        <v>166068.79</v>
      </c>
      <c r="K81" s="629">
        <v>155268.74</v>
      </c>
      <c r="L81" s="194">
        <f t="shared" si="23"/>
        <v>113614.43000000002</v>
      </c>
      <c r="M81" s="194">
        <f t="shared" si="24"/>
        <v>113614.43000000002</v>
      </c>
      <c r="N81" s="631">
        <f t="shared" si="28"/>
        <v>67.745623074848467</v>
      </c>
      <c r="P81" s="9">
        <v>238630.56999999998</v>
      </c>
    </row>
    <row r="82" spans="1:20" ht="12" customHeight="1">
      <c r="A82" s="176">
        <v>190</v>
      </c>
      <c r="B82" s="159" t="s">
        <v>314</v>
      </c>
      <c r="C82" s="160">
        <f>+C84+C87</f>
        <v>0</v>
      </c>
      <c r="D82" s="160"/>
      <c r="E82" s="606"/>
      <c r="F82" s="626">
        <f>SUM(F83:F89)</f>
        <v>149480</v>
      </c>
      <c r="G82" s="626">
        <f>SUM(G83:G89)</f>
        <v>149480</v>
      </c>
      <c r="H82" s="626">
        <f>SUM(H83:H89)</f>
        <v>64</v>
      </c>
      <c r="I82" s="626">
        <f>P82+H82</f>
        <v>137487.18</v>
      </c>
      <c r="J82" s="626">
        <f>SUM(J84:J89)</f>
        <v>80199.66</v>
      </c>
      <c r="K82" s="626">
        <f>SUM(K83:K89)</f>
        <v>103326.35</v>
      </c>
      <c r="L82" s="627">
        <f t="shared" si="23"/>
        <v>11992.820000000007</v>
      </c>
      <c r="M82" s="627">
        <f t="shared" si="24"/>
        <v>11992.820000000007</v>
      </c>
      <c r="N82" s="628">
        <f t="shared" si="28"/>
        <v>91.97697350816162</v>
      </c>
      <c r="P82" s="111">
        <v>137423.18</v>
      </c>
    </row>
    <row r="83" spans="1:20" ht="0.75" customHeight="1">
      <c r="A83" s="177">
        <v>191</v>
      </c>
      <c r="B83" s="162" t="s">
        <v>315</v>
      </c>
      <c r="C83" s="160"/>
      <c r="D83" s="160"/>
      <c r="E83" s="606"/>
      <c r="F83" s="630">
        <f>SUM(C83:C83)</f>
        <v>0</v>
      </c>
      <c r="G83" s="630">
        <v>0</v>
      </c>
      <c r="H83" s="626">
        <v>0</v>
      </c>
      <c r="I83" s="630">
        <f>+P83+H83</f>
        <v>0</v>
      </c>
      <c r="J83" s="630"/>
      <c r="K83" s="630"/>
      <c r="L83" s="627"/>
      <c r="M83" s="627"/>
      <c r="N83" s="631"/>
      <c r="P83" s="9">
        <v>0</v>
      </c>
    </row>
    <row r="84" spans="1:20" ht="12" customHeight="1">
      <c r="A84" s="177">
        <v>192</v>
      </c>
      <c r="B84" s="162" t="s">
        <v>316</v>
      </c>
      <c r="C84" s="163"/>
      <c r="D84" s="163"/>
      <c r="E84" s="607"/>
      <c r="F84" s="629">
        <v>10950</v>
      </c>
      <c r="G84" s="629">
        <v>10950</v>
      </c>
      <c r="H84" s="629"/>
      <c r="I84" s="630">
        <f>+P84+H84</f>
        <v>10230.169999999998</v>
      </c>
      <c r="J84" s="629">
        <v>3799.04</v>
      </c>
      <c r="K84" s="629">
        <v>4421.24</v>
      </c>
      <c r="L84" s="194">
        <f>+G84-I84</f>
        <v>719.83000000000175</v>
      </c>
      <c r="M84" s="194">
        <f>+F84-I84</f>
        <v>719.83000000000175</v>
      </c>
      <c r="N84" s="631">
        <f>+I84*100/G84</f>
        <v>93.426210045662074</v>
      </c>
      <c r="P84" s="9">
        <v>10230.169999999998</v>
      </c>
    </row>
    <row r="85" spans="1:20" ht="13.5" customHeight="1">
      <c r="A85" s="177">
        <v>194</v>
      </c>
      <c r="B85" s="162" t="s">
        <v>317</v>
      </c>
      <c r="C85" s="163"/>
      <c r="D85" s="163"/>
      <c r="E85" s="607"/>
      <c r="F85" s="629">
        <v>100</v>
      </c>
      <c r="G85" s="629">
        <v>100</v>
      </c>
      <c r="H85" s="629"/>
      <c r="I85" s="630">
        <f>+H85+P85</f>
        <v>64.2</v>
      </c>
      <c r="J85" s="629"/>
      <c r="K85" s="629">
        <v>64.2</v>
      </c>
      <c r="L85" s="194">
        <f>+G85-I85</f>
        <v>35.799999999999997</v>
      </c>
      <c r="M85" s="194"/>
      <c r="N85" s="631">
        <f>+I85*100/G85</f>
        <v>64.2</v>
      </c>
      <c r="P85" s="9">
        <v>64.2</v>
      </c>
    </row>
    <row r="86" spans="1:20" ht="13.5" customHeight="1">
      <c r="A86" s="177">
        <v>195</v>
      </c>
      <c r="B86" s="162" t="s">
        <v>318</v>
      </c>
      <c r="C86" s="163"/>
      <c r="D86" s="163"/>
      <c r="E86" s="607"/>
      <c r="F86" s="629">
        <v>3500</v>
      </c>
      <c r="G86" s="629">
        <v>3500</v>
      </c>
      <c r="H86" s="629">
        <v>26</v>
      </c>
      <c r="I86" s="630">
        <f t="shared" ref="I86" si="29">P86+H86</f>
        <v>1408</v>
      </c>
      <c r="J86" s="629">
        <v>1408</v>
      </c>
      <c r="K86" s="629">
        <v>1408</v>
      </c>
      <c r="L86" s="194"/>
      <c r="M86" s="194"/>
      <c r="N86" s="631">
        <f>+I86*100/G86</f>
        <v>40.228571428571428</v>
      </c>
      <c r="P86" s="9">
        <v>1382</v>
      </c>
    </row>
    <row r="87" spans="1:20" ht="13.5" customHeight="1">
      <c r="A87" s="177">
        <v>196</v>
      </c>
      <c r="B87" s="162" t="s">
        <v>319</v>
      </c>
      <c r="C87" s="163"/>
      <c r="D87" s="163"/>
      <c r="E87" s="607"/>
      <c r="F87" s="629">
        <v>19800</v>
      </c>
      <c r="G87" s="629">
        <v>19800</v>
      </c>
      <c r="H87" s="629">
        <v>38</v>
      </c>
      <c r="I87" s="630">
        <f>+H87+P87</f>
        <v>18421.009999999998</v>
      </c>
      <c r="J87" s="629">
        <v>18421.009999999998</v>
      </c>
      <c r="K87" s="629">
        <v>18428.009999999998</v>
      </c>
      <c r="L87" s="194">
        <f>+G87-I87</f>
        <v>1378.9900000000016</v>
      </c>
      <c r="M87" s="194">
        <f>+F87-I87</f>
        <v>1378.9900000000016</v>
      </c>
      <c r="N87" s="631">
        <f>+I87*100/G87</f>
        <v>93.035404040404032</v>
      </c>
      <c r="P87" s="9">
        <v>18383.009999999998</v>
      </c>
    </row>
    <row r="88" spans="1:20" ht="14.25" customHeight="1">
      <c r="A88" s="177">
        <v>197</v>
      </c>
      <c r="B88" s="162" t="s">
        <v>320</v>
      </c>
      <c r="C88" s="163"/>
      <c r="D88" s="163"/>
      <c r="E88" s="607"/>
      <c r="F88" s="629">
        <v>61640</v>
      </c>
      <c r="G88" s="629">
        <v>61640</v>
      </c>
      <c r="H88" s="629"/>
      <c r="I88" s="630">
        <f>P88+H88</f>
        <v>54857.11</v>
      </c>
      <c r="J88" s="629">
        <v>16314.32</v>
      </c>
      <c r="K88" s="629">
        <v>31656.69</v>
      </c>
      <c r="L88" s="194">
        <f>+G88-I88</f>
        <v>6782.8899999999994</v>
      </c>
      <c r="M88" s="194">
        <f>+F88-I88</f>
        <v>6782.8899999999994</v>
      </c>
      <c r="N88" s="631">
        <f t="shared" ref="N88:N89" si="30">+I88*100/G88</f>
        <v>88.995960415314727</v>
      </c>
      <c r="P88" s="9">
        <v>54857.11</v>
      </c>
    </row>
    <row r="89" spans="1:20" ht="13.5" customHeight="1">
      <c r="A89" s="179">
        <v>199</v>
      </c>
      <c r="B89" s="180" t="s">
        <v>321</v>
      </c>
      <c r="C89" s="181"/>
      <c r="D89" s="51"/>
      <c r="E89" s="51"/>
      <c r="F89" s="629">
        <v>53490</v>
      </c>
      <c r="G89" s="629">
        <v>53490</v>
      </c>
      <c r="H89" s="629"/>
      <c r="I89" s="630">
        <f>P89+H89</f>
        <v>52506.69</v>
      </c>
      <c r="J89" s="629">
        <v>40257.29</v>
      </c>
      <c r="K89" s="629">
        <v>47348.21</v>
      </c>
      <c r="L89" s="194">
        <f>+G89-I89</f>
        <v>983.30999999999767</v>
      </c>
      <c r="M89" s="194">
        <f>+F89-I89</f>
        <v>983.30999999999767</v>
      </c>
      <c r="N89" s="631">
        <f t="shared" si="30"/>
        <v>98.161693774537298</v>
      </c>
      <c r="P89" s="9">
        <v>52506.69</v>
      </c>
    </row>
    <row r="90" spans="1:20" ht="15" customHeight="1" thickBot="1">
      <c r="A90" s="177"/>
      <c r="B90" s="182"/>
      <c r="C90" s="183"/>
      <c r="D90" s="183"/>
      <c r="E90" s="611"/>
      <c r="F90" s="640"/>
      <c r="G90" s="640"/>
      <c r="H90" s="640"/>
      <c r="I90" s="640"/>
      <c r="J90" s="640"/>
      <c r="K90" s="640"/>
      <c r="L90" s="641"/>
      <c r="M90" s="641"/>
      <c r="N90" s="631"/>
      <c r="P90" s="9"/>
    </row>
    <row r="91" spans="1:20" ht="15.75" customHeight="1" thickBot="1">
      <c r="A91" s="184" t="s">
        <v>322</v>
      </c>
      <c r="B91" s="184" t="s">
        <v>323</v>
      </c>
      <c r="C91" s="185">
        <f t="shared" ref="C91:J91" si="31">+C92+C95+C101+C107+C111+C117+C125+C131+C140+C141</f>
        <v>3042561</v>
      </c>
      <c r="D91" s="185">
        <f>+D92+D95+D107+D111+D117+D125+D141</f>
        <v>537778</v>
      </c>
      <c r="E91" s="612">
        <f>+E92+E95+E107+E111+E117+E125+E141</f>
        <v>-537778</v>
      </c>
      <c r="F91" s="642">
        <f t="shared" si="31"/>
        <v>4050605</v>
      </c>
      <c r="G91" s="642">
        <f t="shared" si="31"/>
        <v>4050605</v>
      </c>
      <c r="H91" s="642">
        <f t="shared" si="31"/>
        <v>138492.36999999997</v>
      </c>
      <c r="I91" s="642">
        <f>P91+H91</f>
        <v>3079890.81</v>
      </c>
      <c r="J91" s="642">
        <f t="shared" si="31"/>
        <v>2401228.1399999997</v>
      </c>
      <c r="K91" s="642">
        <f>K92+K95+K101+K107+K111+K117+K125+K131+K140+K141</f>
        <v>2173540.71</v>
      </c>
      <c r="L91" s="643">
        <f>+G91-I91+1</f>
        <v>970715.19</v>
      </c>
      <c r="M91" s="643">
        <f t="shared" ref="M91:M122" si="32">+F91-I91</f>
        <v>970714.19</v>
      </c>
      <c r="N91" s="644">
        <f t="shared" ref="N91:N115" si="33">+I91*100/G91</f>
        <v>76.035328302809091</v>
      </c>
      <c r="P91" s="111">
        <f>2941217.44+170.5+10.5</f>
        <v>2941398.44</v>
      </c>
      <c r="Q91" s="9"/>
      <c r="R91" s="9"/>
      <c r="S91" s="9">
        <f>2941217.44-82052.9</f>
        <v>2859164.54</v>
      </c>
    </row>
    <row r="92" spans="1:20" ht="16.5" customHeight="1">
      <c r="A92" s="186" t="s">
        <v>324</v>
      </c>
      <c r="B92" s="186" t="s">
        <v>325</v>
      </c>
      <c r="C92" s="187">
        <f>SUM(C93:C94)</f>
        <v>185018</v>
      </c>
      <c r="D92" s="187">
        <f>+D93</f>
        <v>15292</v>
      </c>
      <c r="E92" s="613">
        <f>+E93</f>
        <v>-15292</v>
      </c>
      <c r="F92" s="645">
        <f>SUM(F93:F94)</f>
        <v>100426</v>
      </c>
      <c r="G92" s="645">
        <f>SUM(G93:G94)</f>
        <v>100426</v>
      </c>
      <c r="H92" s="645">
        <f>+H93+H94</f>
        <v>3650</v>
      </c>
      <c r="I92" s="645">
        <f>P92+H92</f>
        <v>60678.879999999997</v>
      </c>
      <c r="J92" s="645">
        <f t="shared" ref="J92:K92" si="34">SUM(J93:J94)</f>
        <v>59248.88</v>
      </c>
      <c r="K92" s="645">
        <f t="shared" si="34"/>
        <v>51102.119999999995</v>
      </c>
      <c r="L92" s="646">
        <f t="shared" ref="L92:L99" si="35">+G92-I92</f>
        <v>39747.120000000003</v>
      </c>
      <c r="M92" s="646">
        <f t="shared" si="32"/>
        <v>39747.120000000003</v>
      </c>
      <c r="N92" s="647">
        <f t="shared" si="33"/>
        <v>60.421484476131681</v>
      </c>
      <c r="P92" s="111">
        <f>56858.38+170.5</f>
        <v>57028.88</v>
      </c>
      <c r="Q92" s="9"/>
      <c r="R92" s="195"/>
      <c r="T92" t="s">
        <v>12</v>
      </c>
    </row>
    <row r="93" spans="1:20" ht="13.5" customHeight="1">
      <c r="A93" s="178" t="s">
        <v>326</v>
      </c>
      <c r="B93" s="189" t="s">
        <v>327</v>
      </c>
      <c r="C93" s="189">
        <v>168849</v>
      </c>
      <c r="D93" s="189">
        <v>15292</v>
      </c>
      <c r="E93" s="614">
        <v>-15292</v>
      </c>
      <c r="F93" s="629">
        <v>82757</v>
      </c>
      <c r="G93" s="629">
        <v>82757</v>
      </c>
      <c r="H93" s="629">
        <v>2850</v>
      </c>
      <c r="I93" s="630">
        <f>P93+H93</f>
        <v>50646.39</v>
      </c>
      <c r="J93" s="629">
        <v>50016.39</v>
      </c>
      <c r="K93" s="629">
        <v>42631.39</v>
      </c>
      <c r="L93" s="194">
        <f t="shared" si="35"/>
        <v>32110.61</v>
      </c>
      <c r="M93" s="194">
        <f t="shared" si="32"/>
        <v>32110.61</v>
      </c>
      <c r="N93" s="631">
        <f t="shared" si="33"/>
        <v>61.198919728844693</v>
      </c>
      <c r="P93" s="9">
        <f>47625.89+170.5</f>
        <v>47796.39</v>
      </c>
    </row>
    <row r="94" spans="1:20" ht="13.5" customHeight="1">
      <c r="A94" s="177" t="s">
        <v>328</v>
      </c>
      <c r="B94" s="190" t="s">
        <v>329</v>
      </c>
      <c r="C94" s="189">
        <v>16169</v>
      </c>
      <c r="D94" s="189"/>
      <c r="E94" s="615"/>
      <c r="F94" s="629">
        <v>17669</v>
      </c>
      <c r="G94" s="629">
        <v>17669</v>
      </c>
      <c r="H94" s="629">
        <v>800</v>
      </c>
      <c r="I94" s="630">
        <f>P94+H94</f>
        <v>10032.49</v>
      </c>
      <c r="J94" s="629">
        <v>9232.49</v>
      </c>
      <c r="K94" s="629">
        <v>8470.73</v>
      </c>
      <c r="L94" s="194">
        <f t="shared" si="35"/>
        <v>7636.51</v>
      </c>
      <c r="M94" s="194">
        <f t="shared" si="32"/>
        <v>7636.51</v>
      </c>
      <c r="N94" s="631">
        <f t="shared" si="33"/>
        <v>56.780179976229554</v>
      </c>
      <c r="P94" s="9">
        <v>9232.49</v>
      </c>
      <c r="Q94" s="9"/>
      <c r="R94" s="9"/>
    </row>
    <row r="95" spans="1:20">
      <c r="A95" s="8" t="s">
        <v>330</v>
      </c>
      <c r="B95" s="191" t="s">
        <v>331</v>
      </c>
      <c r="C95" s="191">
        <f>SUM(C96:C100)</f>
        <v>196410</v>
      </c>
      <c r="D95" s="191">
        <f>SUM(D96:D100)</f>
        <v>91200</v>
      </c>
      <c r="E95" s="613">
        <f>+E97+E99</f>
        <v>-91200</v>
      </c>
      <c r="F95" s="626">
        <f>SUM(F96:F100)</f>
        <v>244860</v>
      </c>
      <c r="G95" s="626">
        <f>SUM(G96:G100)</f>
        <v>244860</v>
      </c>
      <c r="H95" s="626">
        <f>+H96+H97+H98+H99+H100</f>
        <v>1949.54</v>
      </c>
      <c r="I95" s="626">
        <f>+P95+H95</f>
        <v>216106.66000000003</v>
      </c>
      <c r="J95" s="626">
        <f>SUM(J96:J100)</f>
        <v>213120.76</v>
      </c>
      <c r="K95" s="626">
        <f t="shared" ref="K95" si="36">SUM(K96:K100)</f>
        <v>163287.04999999999</v>
      </c>
      <c r="L95" s="627">
        <f t="shared" si="35"/>
        <v>28753.339999999967</v>
      </c>
      <c r="M95" s="627">
        <f t="shared" si="32"/>
        <v>28753.339999999967</v>
      </c>
      <c r="N95" s="631">
        <f t="shared" si="33"/>
        <v>88.257232704402526</v>
      </c>
      <c r="P95" s="111">
        <v>214157.12000000002</v>
      </c>
    </row>
    <row r="96" spans="1:20" ht="12" customHeight="1">
      <c r="A96" s="178" t="s">
        <v>332</v>
      </c>
      <c r="B96" s="189" t="s">
        <v>333</v>
      </c>
      <c r="C96" s="189">
        <v>32960</v>
      </c>
      <c r="D96" s="189"/>
      <c r="E96" s="614"/>
      <c r="F96" s="629">
        <v>42660</v>
      </c>
      <c r="G96" s="629">
        <v>42660</v>
      </c>
      <c r="H96" s="629">
        <v>1949.54</v>
      </c>
      <c r="I96" s="630">
        <f t="shared" ref="I96:I123" si="37">+P96+H96</f>
        <v>34700.71</v>
      </c>
      <c r="J96" s="629">
        <v>32292.78</v>
      </c>
      <c r="K96" s="629">
        <v>30748.04</v>
      </c>
      <c r="L96" s="194">
        <f t="shared" si="35"/>
        <v>7959.2900000000009</v>
      </c>
      <c r="M96" s="194">
        <f t="shared" si="32"/>
        <v>7959.2900000000009</v>
      </c>
      <c r="N96" s="631">
        <f t="shared" si="33"/>
        <v>81.342498827941867</v>
      </c>
      <c r="P96" s="9">
        <v>32751.17</v>
      </c>
    </row>
    <row r="97" spans="1:19" ht="12" customHeight="1">
      <c r="A97" s="177" t="s">
        <v>334</v>
      </c>
      <c r="B97" s="190" t="s">
        <v>335</v>
      </c>
      <c r="C97" s="189">
        <v>37749</v>
      </c>
      <c r="D97" s="189">
        <v>13200</v>
      </c>
      <c r="E97" s="614">
        <v>-13200</v>
      </c>
      <c r="F97" s="629">
        <v>37149</v>
      </c>
      <c r="G97" s="629">
        <v>37149</v>
      </c>
      <c r="H97" s="629"/>
      <c r="I97" s="630">
        <f t="shared" si="37"/>
        <v>28374.48</v>
      </c>
      <c r="J97" s="629">
        <v>28374.48</v>
      </c>
      <c r="K97" s="629">
        <v>28374.48</v>
      </c>
      <c r="L97" s="194">
        <f t="shared" si="35"/>
        <v>8774.52</v>
      </c>
      <c r="M97" s="194">
        <f t="shared" si="32"/>
        <v>8774.52</v>
      </c>
      <c r="N97" s="631">
        <f t="shared" si="33"/>
        <v>76.380198659452475</v>
      </c>
      <c r="P97" s="9">
        <v>28374.48</v>
      </c>
    </row>
    <row r="98" spans="1:19" ht="12" customHeight="1">
      <c r="A98" s="177" t="s">
        <v>336</v>
      </c>
      <c r="B98" s="190" t="s">
        <v>337</v>
      </c>
      <c r="C98" s="189">
        <v>40776</v>
      </c>
      <c r="D98" s="189"/>
      <c r="E98" s="614"/>
      <c r="F98" s="629">
        <v>13876</v>
      </c>
      <c r="G98" s="629">
        <v>13876</v>
      </c>
      <c r="H98" s="629"/>
      <c r="I98" s="630">
        <f t="shared" si="37"/>
        <v>8999.5499999999993</v>
      </c>
      <c r="J98" s="629">
        <v>8978.15</v>
      </c>
      <c r="K98" s="629">
        <v>8978.15</v>
      </c>
      <c r="L98" s="194">
        <f t="shared" si="35"/>
        <v>4876.4500000000007</v>
      </c>
      <c r="M98" s="194">
        <f t="shared" si="32"/>
        <v>4876.4500000000007</v>
      </c>
      <c r="N98" s="631">
        <f t="shared" si="33"/>
        <v>64.856947247045255</v>
      </c>
      <c r="P98" s="9">
        <v>8999.5499999999993</v>
      </c>
    </row>
    <row r="99" spans="1:19" ht="13.5" customHeight="1">
      <c r="A99" s="177" t="s">
        <v>338</v>
      </c>
      <c r="B99" s="190" t="s">
        <v>339</v>
      </c>
      <c r="C99" s="189">
        <v>81833</v>
      </c>
      <c r="D99" s="189">
        <v>78000</v>
      </c>
      <c r="E99" s="614">
        <v>-78000</v>
      </c>
      <c r="F99" s="629">
        <v>136883</v>
      </c>
      <c r="G99" s="629">
        <v>136883</v>
      </c>
      <c r="H99" s="629"/>
      <c r="I99" s="630">
        <f t="shared" si="37"/>
        <v>132277.97</v>
      </c>
      <c r="J99" s="629">
        <v>131865.85</v>
      </c>
      <c r="K99" s="629">
        <v>85513.58</v>
      </c>
      <c r="L99" s="194">
        <f t="shared" si="35"/>
        <v>4605.0299999999988</v>
      </c>
      <c r="M99" s="194">
        <f t="shared" si="32"/>
        <v>4605.0299999999988</v>
      </c>
      <c r="N99" s="631">
        <f t="shared" si="33"/>
        <v>96.6357911501063</v>
      </c>
      <c r="P99" s="9">
        <v>132277.97</v>
      </c>
    </row>
    <row r="100" spans="1:19" ht="13.5" customHeight="1">
      <c r="A100" s="177" t="s">
        <v>340</v>
      </c>
      <c r="B100" s="190" t="s">
        <v>341</v>
      </c>
      <c r="C100" s="163">
        <v>3092</v>
      </c>
      <c r="D100" s="163"/>
      <c r="E100" s="607"/>
      <c r="F100" s="629">
        <v>14292</v>
      </c>
      <c r="G100" s="629">
        <v>14292</v>
      </c>
      <c r="H100" s="629"/>
      <c r="I100" s="630">
        <f t="shared" si="37"/>
        <v>11753.95</v>
      </c>
      <c r="J100" s="629">
        <v>11609.5</v>
      </c>
      <c r="K100" s="629">
        <v>9672.7999999999993</v>
      </c>
      <c r="L100" s="194" t="s">
        <v>12</v>
      </c>
      <c r="M100" s="194">
        <f t="shared" si="32"/>
        <v>2538.0499999999993</v>
      </c>
      <c r="N100" s="631">
        <f t="shared" si="33"/>
        <v>82.241463755947379</v>
      </c>
      <c r="P100" s="9">
        <v>11753.95</v>
      </c>
    </row>
    <row r="101" spans="1:19" ht="20.25" customHeight="1">
      <c r="A101" s="192" t="s">
        <v>342</v>
      </c>
      <c r="B101" s="187" t="s">
        <v>343</v>
      </c>
      <c r="C101" s="187">
        <f>SUM(C102:C106)</f>
        <v>361282</v>
      </c>
      <c r="D101" s="187"/>
      <c r="E101" s="198"/>
      <c r="F101" s="645">
        <f>SUM(F102:F106)</f>
        <v>471432</v>
      </c>
      <c r="G101" s="645">
        <f>SUM(G102:G106)</f>
        <v>471432</v>
      </c>
      <c r="H101" s="645">
        <f>SUM(H102:H106)</f>
        <v>0</v>
      </c>
      <c r="I101" s="645">
        <f t="shared" si="37"/>
        <v>286291.02</v>
      </c>
      <c r="J101" s="645">
        <f t="shared" ref="J101" si="38">SUM(J102:J106)</f>
        <v>244238.5</v>
      </c>
      <c r="K101" s="645">
        <f t="shared" ref="K101" si="39">SUM(K102:K106)</f>
        <v>187573.53</v>
      </c>
      <c r="L101" s="646">
        <f>+G101-I101</f>
        <v>185140.97999999998</v>
      </c>
      <c r="M101" s="646">
        <f t="shared" si="32"/>
        <v>185140.97999999998</v>
      </c>
      <c r="N101" s="631">
        <f t="shared" si="33"/>
        <v>60.72795652395255</v>
      </c>
      <c r="O101" s="6"/>
      <c r="P101" s="111">
        <v>286291.02</v>
      </c>
      <c r="Q101" s="9"/>
      <c r="R101" s="9"/>
      <c r="S101" s="9"/>
    </row>
    <row r="102" spans="1:19" ht="12" customHeight="1">
      <c r="A102" s="178" t="s">
        <v>344</v>
      </c>
      <c r="B102" s="189" t="s">
        <v>345</v>
      </c>
      <c r="C102" s="189">
        <v>59850</v>
      </c>
      <c r="D102" s="189"/>
      <c r="E102" s="615"/>
      <c r="F102" s="629">
        <v>207850</v>
      </c>
      <c r="G102" s="629">
        <v>207850</v>
      </c>
      <c r="H102" s="629"/>
      <c r="I102" s="630">
        <f>+P102+H102</f>
        <v>157109.51</v>
      </c>
      <c r="J102" s="629">
        <v>134861.04999999999</v>
      </c>
      <c r="K102" s="629">
        <v>101709.03</v>
      </c>
      <c r="L102" s="194">
        <f>+G102-I102</f>
        <v>50740.489999999991</v>
      </c>
      <c r="M102" s="194">
        <f t="shared" si="32"/>
        <v>50740.489999999991</v>
      </c>
      <c r="N102" s="631">
        <f t="shared" si="33"/>
        <v>75.587928794803943</v>
      </c>
      <c r="P102" s="216">
        <v>157109.51</v>
      </c>
      <c r="S102">
        <f>163609.51-157109.51</f>
        <v>6500</v>
      </c>
    </row>
    <row r="103" spans="1:19" ht="12" customHeight="1">
      <c r="A103" s="177">
        <v>222</v>
      </c>
      <c r="B103" s="189" t="s">
        <v>346</v>
      </c>
      <c r="C103" s="189">
        <v>71432</v>
      </c>
      <c r="D103" s="189"/>
      <c r="E103" s="615"/>
      <c r="F103" s="629">
        <v>139582</v>
      </c>
      <c r="G103" s="629">
        <v>139582</v>
      </c>
      <c r="H103" s="629"/>
      <c r="I103" s="630">
        <f t="shared" si="37"/>
        <v>81339.680000000008</v>
      </c>
      <c r="J103" s="629">
        <v>66870.78</v>
      </c>
      <c r="K103" s="629">
        <v>49718.68</v>
      </c>
      <c r="L103" s="194">
        <v>11127.96</v>
      </c>
      <c r="M103" s="194">
        <f t="shared" si="32"/>
        <v>58242.319999999992</v>
      </c>
      <c r="N103" s="631">
        <f t="shared" si="33"/>
        <v>58.273760226963368</v>
      </c>
      <c r="P103" s="9">
        <v>81339.680000000008</v>
      </c>
    </row>
    <row r="104" spans="1:19" ht="16.149999999999999" customHeight="1">
      <c r="A104" s="177" t="s">
        <v>347</v>
      </c>
      <c r="B104" s="190" t="s">
        <v>348</v>
      </c>
      <c r="C104" s="189">
        <v>150000</v>
      </c>
      <c r="D104" s="189"/>
      <c r="E104" s="615"/>
      <c r="F104" s="629">
        <v>92300</v>
      </c>
      <c r="G104" s="629">
        <v>92300</v>
      </c>
      <c r="H104" s="629"/>
      <c r="I104" s="630">
        <f t="shared" si="37"/>
        <v>31444.240000000002</v>
      </c>
      <c r="J104" s="629">
        <v>26117.919999999998</v>
      </c>
      <c r="K104" s="629">
        <v>20717.759999999998</v>
      </c>
      <c r="L104" s="194">
        <f t="shared" ref="L104:L123" si="40">+G104-I104</f>
        <v>60855.759999999995</v>
      </c>
      <c r="M104" s="194">
        <f t="shared" si="32"/>
        <v>60855.759999999995</v>
      </c>
      <c r="N104" s="631">
        <f t="shared" si="33"/>
        <v>34.067432286023838</v>
      </c>
      <c r="P104" s="216">
        <v>31444.240000000002</v>
      </c>
      <c r="R104" s="248" t="s">
        <v>12</v>
      </c>
    </row>
    <row r="105" spans="1:19" ht="14.25" customHeight="1">
      <c r="A105" s="177" t="s">
        <v>349</v>
      </c>
      <c r="B105" s="190" t="s">
        <v>350</v>
      </c>
      <c r="C105" s="189">
        <v>50000</v>
      </c>
      <c r="D105" s="189"/>
      <c r="E105" s="615"/>
      <c r="F105" s="629">
        <v>17700</v>
      </c>
      <c r="G105" s="629">
        <v>17700</v>
      </c>
      <c r="H105" s="629"/>
      <c r="I105" s="630">
        <f>P105+H105</f>
        <v>8155.6200000000008</v>
      </c>
      <c r="J105" s="629">
        <v>8146.78</v>
      </c>
      <c r="K105" s="629">
        <v>7186.09</v>
      </c>
      <c r="L105" s="194">
        <f t="shared" si="40"/>
        <v>9544.3799999999992</v>
      </c>
      <c r="M105" s="194">
        <f t="shared" si="32"/>
        <v>9544.3799999999992</v>
      </c>
      <c r="N105" s="631">
        <f t="shared" si="33"/>
        <v>46.076949152542376</v>
      </c>
      <c r="P105" s="9">
        <v>8155.6200000000008</v>
      </c>
    </row>
    <row r="106" spans="1:19" ht="14.45" customHeight="1">
      <c r="A106" s="177">
        <v>229</v>
      </c>
      <c r="B106" s="190" t="s">
        <v>351</v>
      </c>
      <c r="C106" s="189">
        <v>30000</v>
      </c>
      <c r="D106" s="189"/>
      <c r="E106" s="615"/>
      <c r="F106" s="629">
        <v>14000</v>
      </c>
      <c r="G106" s="629">
        <v>14000</v>
      </c>
      <c r="H106" s="629"/>
      <c r="I106" s="630">
        <f>+H106+P106</f>
        <v>8241.9700000000012</v>
      </c>
      <c r="J106" s="629">
        <v>8241.9699999999993</v>
      </c>
      <c r="K106" s="629">
        <v>8241.9699999999993</v>
      </c>
      <c r="L106" s="194">
        <f t="shared" si="40"/>
        <v>5758.0299999999988</v>
      </c>
      <c r="M106" s="194">
        <f t="shared" si="32"/>
        <v>5758.0299999999988</v>
      </c>
      <c r="N106" s="631">
        <f t="shared" si="33"/>
        <v>58.871214285714295</v>
      </c>
      <c r="P106" s="9">
        <v>8241.9700000000012</v>
      </c>
    </row>
    <row r="107" spans="1:19" ht="16.5" customHeight="1">
      <c r="A107" s="192" t="s">
        <v>352</v>
      </c>
      <c r="B107" s="187" t="s">
        <v>353</v>
      </c>
      <c r="C107" s="187">
        <f>SUM(C108:C110)</f>
        <v>249812</v>
      </c>
      <c r="D107" s="187">
        <f>+D109</f>
        <v>11900</v>
      </c>
      <c r="E107" s="613">
        <f>+E109</f>
        <v>-11900</v>
      </c>
      <c r="F107" s="645">
        <f>SUM(F108:F110)</f>
        <v>135930</v>
      </c>
      <c r="G107" s="645">
        <f>SUM(G108:G110)</f>
        <v>135930</v>
      </c>
      <c r="H107" s="645">
        <f>SUM(H108:H110)</f>
        <v>16411.509999999998</v>
      </c>
      <c r="I107" s="626">
        <f>+P107+H107</f>
        <v>89312.599999999991</v>
      </c>
      <c r="J107" s="645">
        <f t="shared" ref="J107" si="41">SUM(J108:J110)</f>
        <v>72456.61</v>
      </c>
      <c r="K107" s="645">
        <f t="shared" ref="K107" si="42">SUM(K108:K110)</f>
        <v>71892.450000000012</v>
      </c>
      <c r="L107" s="646">
        <f t="shared" si="40"/>
        <v>46617.400000000009</v>
      </c>
      <c r="M107" s="646">
        <f t="shared" si="32"/>
        <v>46617.400000000009</v>
      </c>
      <c r="N107" s="647">
        <f t="shared" si="33"/>
        <v>65.704848083572429</v>
      </c>
      <c r="P107" s="111">
        <v>72901.09</v>
      </c>
    </row>
    <row r="108" spans="1:19" ht="12.75" customHeight="1">
      <c r="A108" s="178" t="s">
        <v>354</v>
      </c>
      <c r="B108" s="189" t="s">
        <v>355</v>
      </c>
      <c r="C108" s="189">
        <v>47890</v>
      </c>
      <c r="D108" s="189"/>
      <c r="E108" s="615"/>
      <c r="F108" s="629">
        <v>26840</v>
      </c>
      <c r="G108" s="629">
        <v>26840</v>
      </c>
      <c r="H108" s="629"/>
      <c r="I108" s="630">
        <f t="shared" si="37"/>
        <v>15756.199999999999</v>
      </c>
      <c r="J108" s="629">
        <v>15756.2</v>
      </c>
      <c r="K108" s="629">
        <v>15756.2</v>
      </c>
      <c r="L108" s="194">
        <f t="shared" si="40"/>
        <v>11083.800000000001</v>
      </c>
      <c r="M108" s="194">
        <f t="shared" si="32"/>
        <v>11083.800000000001</v>
      </c>
      <c r="N108" s="631">
        <f t="shared" si="33"/>
        <v>58.704172876304021</v>
      </c>
      <c r="P108" s="9">
        <v>15756.199999999999</v>
      </c>
    </row>
    <row r="109" spans="1:19" ht="12.75" customHeight="1">
      <c r="A109" s="177" t="s">
        <v>356</v>
      </c>
      <c r="B109" s="190" t="s">
        <v>357</v>
      </c>
      <c r="C109" s="189">
        <v>137050</v>
      </c>
      <c r="D109" s="189">
        <v>11900</v>
      </c>
      <c r="E109" s="614">
        <v>-11900</v>
      </c>
      <c r="F109" s="629">
        <v>85676</v>
      </c>
      <c r="G109" s="629">
        <v>85676</v>
      </c>
      <c r="H109" s="629">
        <v>14185.91</v>
      </c>
      <c r="I109" s="630">
        <f t="shared" si="37"/>
        <v>57635.78</v>
      </c>
      <c r="J109" s="629">
        <v>43005.39</v>
      </c>
      <c r="K109" s="629">
        <v>42633.57</v>
      </c>
      <c r="L109" s="194">
        <f t="shared" si="40"/>
        <v>28040.22</v>
      </c>
      <c r="M109" s="194">
        <f t="shared" si="32"/>
        <v>28040.22</v>
      </c>
      <c r="N109" s="631">
        <f t="shared" si="33"/>
        <v>67.271791400158733</v>
      </c>
      <c r="P109" s="9">
        <v>43449.869999999995</v>
      </c>
    </row>
    <row r="110" spans="1:19" ht="15" customHeight="1">
      <c r="A110" s="177" t="s">
        <v>358</v>
      </c>
      <c r="B110" s="190" t="s">
        <v>359</v>
      </c>
      <c r="C110" s="189">
        <v>64872</v>
      </c>
      <c r="D110" s="189"/>
      <c r="E110" s="615"/>
      <c r="F110" s="629">
        <v>23414</v>
      </c>
      <c r="G110" s="629">
        <v>23414</v>
      </c>
      <c r="H110" s="629">
        <v>2225.6</v>
      </c>
      <c r="I110" s="630">
        <f t="shared" si="37"/>
        <v>15920.62</v>
      </c>
      <c r="J110" s="629">
        <v>13695.02</v>
      </c>
      <c r="K110" s="629">
        <v>13502.68</v>
      </c>
      <c r="L110" s="194">
        <f t="shared" si="40"/>
        <v>7493.3799999999992</v>
      </c>
      <c r="M110" s="194">
        <f t="shared" si="32"/>
        <v>7493.3799999999992</v>
      </c>
      <c r="N110" s="631">
        <f t="shared" si="33"/>
        <v>67.996156145895611</v>
      </c>
      <c r="P110" s="9">
        <v>13695.02</v>
      </c>
      <c r="R110" t="s">
        <v>12</v>
      </c>
    </row>
    <row r="111" spans="1:19" ht="15" customHeight="1">
      <c r="A111" s="192" t="s">
        <v>360</v>
      </c>
      <c r="B111" s="187" t="s">
        <v>361</v>
      </c>
      <c r="C111" s="187">
        <f>SUM(C112:C116)</f>
        <v>258848</v>
      </c>
      <c r="D111" s="187">
        <f>+D115</f>
        <v>5700</v>
      </c>
      <c r="E111" s="613">
        <f>+E115</f>
        <v>-5700</v>
      </c>
      <c r="F111" s="645">
        <f>SUM(F112:F116)</f>
        <v>219254</v>
      </c>
      <c r="G111" s="645">
        <f>SUM(G112:G116)</f>
        <v>219254</v>
      </c>
      <c r="H111" s="645">
        <f>SUM(H112:H116)</f>
        <v>6039.68</v>
      </c>
      <c r="I111" s="645">
        <f t="shared" si="37"/>
        <v>161614.30000000002</v>
      </c>
      <c r="J111" s="645">
        <f t="shared" ref="J111:K111" si="43">SUM(J112:J116)</f>
        <v>150029.37</v>
      </c>
      <c r="K111" s="645">
        <f t="shared" si="43"/>
        <v>140290.70000000001</v>
      </c>
      <c r="L111" s="646">
        <f t="shared" si="40"/>
        <v>57639.699999999983</v>
      </c>
      <c r="M111" s="646">
        <f t="shared" si="32"/>
        <v>57639.699999999983</v>
      </c>
      <c r="N111" s="647">
        <f t="shared" si="33"/>
        <v>73.710992729893192</v>
      </c>
      <c r="P111" s="111">
        <v>155574.62000000002</v>
      </c>
    </row>
    <row r="112" spans="1:19" ht="15.75" customHeight="1">
      <c r="A112" s="177" t="s">
        <v>362</v>
      </c>
      <c r="B112" s="189" t="s">
        <v>363</v>
      </c>
      <c r="C112" s="189">
        <v>3167</v>
      </c>
      <c r="D112" s="189"/>
      <c r="E112" s="615"/>
      <c r="F112" s="629">
        <v>3517</v>
      </c>
      <c r="G112" s="629">
        <v>3517</v>
      </c>
      <c r="H112" s="629"/>
      <c r="I112" s="630">
        <f t="shared" si="37"/>
        <v>1980.87</v>
      </c>
      <c r="J112" s="629">
        <v>1980.87</v>
      </c>
      <c r="K112" s="629">
        <v>1980.87</v>
      </c>
      <c r="L112" s="194">
        <f t="shared" si="40"/>
        <v>1536.13</v>
      </c>
      <c r="M112" s="194">
        <f t="shared" si="32"/>
        <v>1536.13</v>
      </c>
      <c r="N112" s="631">
        <f t="shared" si="33"/>
        <v>56.322718225760589</v>
      </c>
      <c r="P112" s="9">
        <v>1980.87</v>
      </c>
    </row>
    <row r="113" spans="1:21" ht="14.25" customHeight="1">
      <c r="A113" s="177" t="s">
        <v>364</v>
      </c>
      <c r="B113" s="190" t="s">
        <v>365</v>
      </c>
      <c r="C113" s="189">
        <v>15000</v>
      </c>
      <c r="D113" s="189"/>
      <c r="E113" s="615"/>
      <c r="F113" s="629">
        <v>31456</v>
      </c>
      <c r="G113" s="629">
        <v>31456</v>
      </c>
      <c r="H113" s="629">
        <v>2762.75</v>
      </c>
      <c r="I113" s="630">
        <f t="shared" si="37"/>
        <v>26110.69</v>
      </c>
      <c r="J113" s="629">
        <v>23123.24</v>
      </c>
      <c r="K113" s="629">
        <v>23036.240000000002</v>
      </c>
      <c r="L113" s="194">
        <f t="shared" si="40"/>
        <v>5345.3100000000013</v>
      </c>
      <c r="M113" s="194">
        <f t="shared" si="32"/>
        <v>5345.3100000000013</v>
      </c>
      <c r="N113" s="631">
        <f t="shared" si="33"/>
        <v>83.007025686673444</v>
      </c>
      <c r="P113" s="9">
        <v>23347.94</v>
      </c>
    </row>
    <row r="114" spans="1:21" ht="17.25" customHeight="1">
      <c r="A114" s="177" t="s">
        <v>366</v>
      </c>
      <c r="B114" s="190" t="s">
        <v>367</v>
      </c>
      <c r="C114" s="189">
        <v>91798</v>
      </c>
      <c r="D114" s="189"/>
      <c r="E114" s="615"/>
      <c r="F114" s="629">
        <v>64998</v>
      </c>
      <c r="G114" s="629">
        <v>64998</v>
      </c>
      <c r="H114" s="629">
        <v>890.51</v>
      </c>
      <c r="I114" s="630">
        <f t="shared" si="37"/>
        <v>41049.879999999997</v>
      </c>
      <c r="J114" s="629">
        <v>38573.919999999998</v>
      </c>
      <c r="K114" s="629">
        <v>37256.97</v>
      </c>
      <c r="L114" s="194">
        <f t="shared" si="40"/>
        <v>23948.120000000003</v>
      </c>
      <c r="M114" s="194">
        <f t="shared" si="32"/>
        <v>23948.120000000003</v>
      </c>
      <c r="N114" s="631">
        <f t="shared" si="33"/>
        <v>63.155604787839621</v>
      </c>
      <c r="P114" s="9">
        <v>40159.369999999995</v>
      </c>
    </row>
    <row r="115" spans="1:21" ht="16.5" customHeight="1">
      <c r="A115" s="177" t="s">
        <v>368</v>
      </c>
      <c r="B115" s="190" t="s">
        <v>369</v>
      </c>
      <c r="C115" s="189">
        <v>27414</v>
      </c>
      <c r="D115" s="189">
        <v>5700</v>
      </c>
      <c r="E115" s="614">
        <v>-5700</v>
      </c>
      <c r="F115" s="629">
        <v>16014</v>
      </c>
      <c r="G115" s="629">
        <v>16014</v>
      </c>
      <c r="H115" s="629"/>
      <c r="I115" s="630">
        <f t="shared" si="37"/>
        <v>6547.07</v>
      </c>
      <c r="J115" s="629">
        <v>6547.07</v>
      </c>
      <c r="K115" s="629">
        <v>6547.07</v>
      </c>
      <c r="L115" s="194">
        <f t="shared" si="40"/>
        <v>9466.93</v>
      </c>
      <c r="M115" s="194">
        <f t="shared" si="32"/>
        <v>9466.93</v>
      </c>
      <c r="N115" s="631">
        <f t="shared" si="33"/>
        <v>40.883414512301734</v>
      </c>
      <c r="P115" s="9">
        <v>6547.07</v>
      </c>
    </row>
    <row r="116" spans="1:21" ht="16.5" customHeight="1">
      <c r="A116" s="177" t="s">
        <v>370</v>
      </c>
      <c r="B116" s="190" t="s">
        <v>371</v>
      </c>
      <c r="C116" s="189">
        <v>121469</v>
      </c>
      <c r="D116" s="189"/>
      <c r="E116" s="615"/>
      <c r="F116" s="629">
        <v>103269</v>
      </c>
      <c r="G116" s="629">
        <v>103269</v>
      </c>
      <c r="H116" s="629">
        <v>2386.42</v>
      </c>
      <c r="I116" s="630">
        <f t="shared" si="37"/>
        <v>85925.790000000008</v>
      </c>
      <c r="J116" s="629">
        <v>79804.27</v>
      </c>
      <c r="K116" s="629">
        <v>71469.55</v>
      </c>
      <c r="L116" s="194">
        <f t="shared" si="40"/>
        <v>17343.209999999992</v>
      </c>
      <c r="M116" s="194">
        <f t="shared" si="32"/>
        <v>17343.209999999992</v>
      </c>
      <c r="N116" s="631">
        <f t="shared" ref="N116:N126" si="44">+I116*100/G116</f>
        <v>83.205792638642762</v>
      </c>
      <c r="P116" s="9">
        <v>83539.37000000001</v>
      </c>
      <c r="R116" s="9" t="s">
        <v>12</v>
      </c>
    </row>
    <row r="117" spans="1:21" ht="20.25" customHeight="1">
      <c r="A117" s="192" t="s">
        <v>372</v>
      </c>
      <c r="B117" s="187" t="s">
        <v>373</v>
      </c>
      <c r="C117" s="187">
        <f>SUM(C118:C124)</f>
        <v>277892</v>
      </c>
      <c r="D117" s="187">
        <f>SUM(D118:D124)</f>
        <v>215000</v>
      </c>
      <c r="E117" s="613">
        <f>+E120+E121+E123+E124</f>
        <v>-215000</v>
      </c>
      <c r="F117" s="645">
        <f>SUM(F118:F124)</f>
        <v>756132</v>
      </c>
      <c r="G117" s="645">
        <f>SUM(G118:G124)</f>
        <v>756132</v>
      </c>
      <c r="H117" s="648">
        <f>SUM(H118:H124)</f>
        <v>35358.839999999997</v>
      </c>
      <c r="I117" s="645">
        <f t="shared" si="37"/>
        <v>589416.75999999989</v>
      </c>
      <c r="J117" s="645">
        <f>SUM(J118:J124)</f>
        <v>513431.65</v>
      </c>
      <c r="K117" s="645">
        <f>SUM(K118:K124)</f>
        <v>444853.21</v>
      </c>
      <c r="L117" s="646">
        <f t="shared" si="40"/>
        <v>166715.24000000011</v>
      </c>
      <c r="M117" s="646">
        <f t="shared" si="32"/>
        <v>166715.24000000011</v>
      </c>
      <c r="N117" s="647">
        <f t="shared" si="44"/>
        <v>77.951569302714333</v>
      </c>
      <c r="P117" s="111">
        <v>554057.91999999993</v>
      </c>
      <c r="Q117" s="9" t="s">
        <v>12</v>
      </c>
    </row>
    <row r="118" spans="1:21" ht="14.25" customHeight="1">
      <c r="A118" s="177" t="s">
        <v>374</v>
      </c>
      <c r="B118" s="190" t="s">
        <v>375</v>
      </c>
      <c r="C118" s="189">
        <v>23493</v>
      </c>
      <c r="D118" s="189"/>
      <c r="E118" s="615"/>
      <c r="F118" s="629">
        <v>25443</v>
      </c>
      <c r="G118" s="629">
        <v>25443</v>
      </c>
      <c r="H118" s="629">
        <v>440.89</v>
      </c>
      <c r="I118" s="630">
        <f t="shared" si="37"/>
        <v>21535.64</v>
      </c>
      <c r="J118" s="629">
        <v>20168.25</v>
      </c>
      <c r="K118" s="629">
        <v>15526.14</v>
      </c>
      <c r="L118" s="194">
        <f t="shared" si="40"/>
        <v>3907.3600000000006</v>
      </c>
      <c r="M118" s="194">
        <f t="shared" si="32"/>
        <v>3907.3600000000006</v>
      </c>
      <c r="N118" s="631">
        <f t="shared" si="44"/>
        <v>84.642691506504733</v>
      </c>
      <c r="P118" s="9">
        <v>21094.75</v>
      </c>
    </row>
    <row r="119" spans="1:21" ht="16.5" customHeight="1">
      <c r="A119" s="177" t="s">
        <v>376</v>
      </c>
      <c r="B119" s="190" t="s">
        <v>377</v>
      </c>
      <c r="C119" s="189">
        <v>31236</v>
      </c>
      <c r="D119" s="189"/>
      <c r="E119" s="615"/>
      <c r="F119" s="629">
        <v>25736</v>
      </c>
      <c r="G119" s="629">
        <v>25736</v>
      </c>
      <c r="H119" s="629">
        <v>2584.84</v>
      </c>
      <c r="I119" s="630">
        <f>+H119+P119</f>
        <v>15894.590000000002</v>
      </c>
      <c r="J119" s="629">
        <v>13161.75</v>
      </c>
      <c r="K119" s="629">
        <v>12529.04</v>
      </c>
      <c r="L119" s="194">
        <f t="shared" si="40"/>
        <v>9841.409999999998</v>
      </c>
      <c r="M119" s="194">
        <f t="shared" si="32"/>
        <v>9841.409999999998</v>
      </c>
      <c r="N119" s="631">
        <f t="shared" si="44"/>
        <v>61.76014143612062</v>
      </c>
      <c r="P119" s="9">
        <v>13309.750000000002</v>
      </c>
    </row>
    <row r="120" spans="1:21" ht="12.75" customHeight="1">
      <c r="A120" s="177">
        <v>254</v>
      </c>
      <c r="B120" s="190" t="s">
        <v>378</v>
      </c>
      <c r="C120" s="189">
        <v>42838</v>
      </c>
      <c r="D120" s="189">
        <v>8000</v>
      </c>
      <c r="E120" s="614">
        <v>-8000</v>
      </c>
      <c r="F120" s="629">
        <v>67138</v>
      </c>
      <c r="G120" s="629">
        <v>67138</v>
      </c>
      <c r="H120" s="629">
        <v>2137.0300000000002</v>
      </c>
      <c r="I120" s="630">
        <f>+P120+H120</f>
        <v>38927.31</v>
      </c>
      <c r="J120" s="629">
        <v>34102.86</v>
      </c>
      <c r="K120" s="629">
        <v>23982.82</v>
      </c>
      <c r="L120" s="194">
        <f t="shared" si="40"/>
        <v>28210.690000000002</v>
      </c>
      <c r="M120" s="194">
        <f t="shared" si="32"/>
        <v>28210.690000000002</v>
      </c>
      <c r="N120" s="631">
        <f t="shared" si="44"/>
        <v>57.981039053889006</v>
      </c>
      <c r="P120" s="9">
        <v>36790.28</v>
      </c>
      <c r="U120" t="s">
        <v>12</v>
      </c>
    </row>
    <row r="121" spans="1:21" ht="18" customHeight="1">
      <c r="A121" s="177" t="s">
        <v>379</v>
      </c>
      <c r="B121" s="190" t="s">
        <v>380</v>
      </c>
      <c r="C121" s="189">
        <v>60539</v>
      </c>
      <c r="D121" s="189">
        <v>11000</v>
      </c>
      <c r="E121" s="614">
        <v>-11000</v>
      </c>
      <c r="F121" s="629">
        <v>269544</v>
      </c>
      <c r="G121" s="629">
        <v>269544</v>
      </c>
      <c r="H121" s="629">
        <v>11257.21</v>
      </c>
      <c r="I121" s="630">
        <f>+H121+P121</f>
        <v>200112.04</v>
      </c>
      <c r="J121" s="629">
        <v>171916.92</v>
      </c>
      <c r="K121" s="629">
        <v>159055.51</v>
      </c>
      <c r="L121" s="194">
        <f t="shared" si="40"/>
        <v>69431.959999999992</v>
      </c>
      <c r="M121" s="194">
        <f t="shared" si="32"/>
        <v>69431.959999999992</v>
      </c>
      <c r="N121" s="631">
        <f t="shared" si="44"/>
        <v>74.240955094530023</v>
      </c>
      <c r="P121" s="9">
        <v>188854.83000000002</v>
      </c>
    </row>
    <row r="122" spans="1:21" ht="17.25" customHeight="1">
      <c r="A122" s="177" t="s">
        <v>381</v>
      </c>
      <c r="B122" s="190" t="s">
        <v>382</v>
      </c>
      <c r="C122" s="189">
        <v>63786</v>
      </c>
      <c r="D122" s="189"/>
      <c r="E122" s="614"/>
      <c r="F122" s="629">
        <v>149006</v>
      </c>
      <c r="G122" s="629">
        <v>149006</v>
      </c>
      <c r="H122" s="629">
        <v>8745.0400000000009</v>
      </c>
      <c r="I122" s="630">
        <f>+P122+H122</f>
        <v>120883.83000000002</v>
      </c>
      <c r="J122" s="629">
        <v>101901.19</v>
      </c>
      <c r="K122" s="629">
        <v>81203.240000000005</v>
      </c>
      <c r="L122" s="194">
        <f t="shared" si="40"/>
        <v>28122.169999999984</v>
      </c>
      <c r="M122" s="194">
        <f t="shared" si="32"/>
        <v>28122.169999999984</v>
      </c>
      <c r="N122" s="631">
        <f t="shared" si="44"/>
        <v>81.126820396494111</v>
      </c>
      <c r="P122" s="9">
        <v>112138.79000000001</v>
      </c>
    </row>
    <row r="123" spans="1:21" ht="17.25" customHeight="1">
      <c r="A123" s="177">
        <v>257</v>
      </c>
      <c r="B123" s="190" t="s">
        <v>383</v>
      </c>
      <c r="C123" s="189">
        <v>50835</v>
      </c>
      <c r="D123" s="189">
        <v>16000</v>
      </c>
      <c r="E123" s="614">
        <v>-16000</v>
      </c>
      <c r="F123" s="629">
        <v>22335</v>
      </c>
      <c r="G123" s="629">
        <v>22335</v>
      </c>
      <c r="H123" s="629">
        <v>62.6</v>
      </c>
      <c r="I123" s="630">
        <f t="shared" si="37"/>
        <v>16841.87</v>
      </c>
      <c r="J123" s="629">
        <v>16536.27</v>
      </c>
      <c r="K123" s="629">
        <v>13643.46</v>
      </c>
      <c r="L123" s="194">
        <f t="shared" si="40"/>
        <v>5493.130000000001</v>
      </c>
      <c r="M123" s="194">
        <f t="shared" ref="M123:M154" si="45">+F123-I123</f>
        <v>5493.130000000001</v>
      </c>
      <c r="N123" s="631">
        <f t="shared" si="44"/>
        <v>75.405730915603314</v>
      </c>
      <c r="P123" s="9">
        <v>16779.27</v>
      </c>
    </row>
    <row r="124" spans="1:21" ht="17.25" customHeight="1">
      <c r="A124" s="177" t="s">
        <v>384</v>
      </c>
      <c r="B124" s="190" t="s">
        <v>385</v>
      </c>
      <c r="C124" s="189">
        <v>5165</v>
      </c>
      <c r="D124" s="189">
        <v>180000</v>
      </c>
      <c r="E124" s="614">
        <v>-180000</v>
      </c>
      <c r="F124" s="629">
        <v>196930</v>
      </c>
      <c r="G124" s="629">
        <v>196930</v>
      </c>
      <c r="H124" s="629">
        <v>10131.23</v>
      </c>
      <c r="I124" s="630">
        <f>+H124+P124</f>
        <v>175221.48000000004</v>
      </c>
      <c r="J124" s="629">
        <v>155644.41</v>
      </c>
      <c r="K124" s="629">
        <v>138913</v>
      </c>
      <c r="L124" s="194">
        <f t="shared" ref="L124:L150" si="46">+G124-I124</f>
        <v>21708.51999999996</v>
      </c>
      <c r="M124" s="194">
        <f t="shared" si="45"/>
        <v>21708.51999999996</v>
      </c>
      <c r="N124" s="631">
        <f t="shared" si="44"/>
        <v>88.976529731376644</v>
      </c>
      <c r="P124" s="9">
        <v>165090.25000000003</v>
      </c>
      <c r="Q124" t="s">
        <v>12</v>
      </c>
      <c r="R124" t="s">
        <v>12</v>
      </c>
    </row>
    <row r="125" spans="1:21" ht="15" customHeight="1">
      <c r="A125" s="192" t="s">
        <v>386</v>
      </c>
      <c r="B125" s="187" t="s">
        <v>387</v>
      </c>
      <c r="C125" s="187">
        <f>SUM(C126:C130)</f>
        <v>475695</v>
      </c>
      <c r="D125" s="187">
        <f>SUM(D126:D129)</f>
        <v>173686</v>
      </c>
      <c r="E125" s="613">
        <f>+E126+E127+E129</f>
        <v>-173686</v>
      </c>
      <c r="F125" s="645">
        <f>SUM(F126:F130)</f>
        <v>600692</v>
      </c>
      <c r="G125" s="645">
        <f>SUM(G126:G130)</f>
        <v>600692</v>
      </c>
      <c r="H125" s="648">
        <f>SUM(H126:H130)</f>
        <v>11804.09</v>
      </c>
      <c r="I125" s="645">
        <f t="shared" ref="I125:I141" si="47">+P125+H125</f>
        <v>469972.53</v>
      </c>
      <c r="J125" s="645">
        <f>SUM(J126:J130)</f>
        <v>396934.68</v>
      </c>
      <c r="K125" s="645">
        <f t="shared" ref="K125" si="48">SUM(K126:K130)</f>
        <v>318600.36</v>
      </c>
      <c r="L125" s="646">
        <f t="shared" si="46"/>
        <v>130719.46999999997</v>
      </c>
      <c r="M125" s="646">
        <f t="shared" si="45"/>
        <v>130719.46999999997</v>
      </c>
      <c r="N125" s="647">
        <f t="shared" si="44"/>
        <v>78.238519907040541</v>
      </c>
      <c r="P125" s="111">
        <v>458168.44</v>
      </c>
      <c r="Q125" t="s">
        <v>388</v>
      </c>
    </row>
    <row r="126" spans="1:21" ht="13.5" customHeight="1">
      <c r="A126" s="177">
        <v>261</v>
      </c>
      <c r="B126" s="189" t="s">
        <v>389</v>
      </c>
      <c r="C126" s="189">
        <v>21865</v>
      </c>
      <c r="D126" s="189">
        <v>40000</v>
      </c>
      <c r="E126" s="614">
        <v>-40000</v>
      </c>
      <c r="F126" s="629">
        <v>29965</v>
      </c>
      <c r="G126" s="629">
        <v>29965</v>
      </c>
      <c r="H126" s="629"/>
      <c r="I126" s="630">
        <f t="shared" si="47"/>
        <v>26766.560000000001</v>
      </c>
      <c r="J126" s="629">
        <v>26766.560000000001</v>
      </c>
      <c r="K126" s="629">
        <v>7699.16</v>
      </c>
      <c r="L126" s="194">
        <f t="shared" si="46"/>
        <v>3198.4399999999987</v>
      </c>
      <c r="M126" s="194">
        <f t="shared" si="45"/>
        <v>3198.4399999999987</v>
      </c>
      <c r="N126" s="631">
        <f t="shared" si="44"/>
        <v>89.326080427165024</v>
      </c>
      <c r="P126" s="9">
        <v>26766.560000000001</v>
      </c>
    </row>
    <row r="127" spans="1:21" ht="13.5" customHeight="1">
      <c r="A127" s="177" t="s">
        <v>390</v>
      </c>
      <c r="B127" s="190" t="s">
        <v>391</v>
      </c>
      <c r="C127" s="189">
        <v>169987</v>
      </c>
      <c r="D127" s="189">
        <v>9000</v>
      </c>
      <c r="E127" s="614">
        <v>-9000</v>
      </c>
      <c r="F127" s="629">
        <v>149087</v>
      </c>
      <c r="G127" s="629">
        <v>149087</v>
      </c>
      <c r="H127" s="629">
        <v>4520.88</v>
      </c>
      <c r="I127" s="630">
        <f t="shared" si="47"/>
        <v>124168.48999999999</v>
      </c>
      <c r="J127" s="629">
        <v>101864.88</v>
      </c>
      <c r="K127" s="629">
        <v>74023.95</v>
      </c>
      <c r="L127" s="194">
        <f t="shared" si="46"/>
        <v>24918.510000000009</v>
      </c>
      <c r="M127" s="194">
        <f t="shared" si="45"/>
        <v>24918.510000000009</v>
      </c>
      <c r="N127" s="631">
        <f t="shared" ref="N127:N137" si="49">+I127*100/G127</f>
        <v>83.285927009061822</v>
      </c>
      <c r="P127" s="9">
        <v>119647.60999999999</v>
      </c>
    </row>
    <row r="128" spans="1:21" ht="17.25" customHeight="1">
      <c r="A128" s="177">
        <v>263</v>
      </c>
      <c r="B128" s="190" t="s">
        <v>392</v>
      </c>
      <c r="C128" s="189">
        <v>28862</v>
      </c>
      <c r="D128" s="189"/>
      <c r="E128" s="615"/>
      <c r="F128" s="629">
        <v>24362</v>
      </c>
      <c r="G128" s="629">
        <v>24362</v>
      </c>
      <c r="H128" s="629">
        <v>305.58999999999997</v>
      </c>
      <c r="I128" s="630">
        <f t="shared" si="47"/>
        <v>17276.79</v>
      </c>
      <c r="J128" s="629">
        <v>16971.2</v>
      </c>
      <c r="K128" s="629">
        <v>14083.12</v>
      </c>
      <c r="L128" s="194">
        <f t="shared" si="46"/>
        <v>7085.2099999999991</v>
      </c>
      <c r="M128" s="194">
        <f t="shared" si="45"/>
        <v>7085.2099999999991</v>
      </c>
      <c r="N128" s="631">
        <f t="shared" si="49"/>
        <v>70.916960840653473</v>
      </c>
      <c r="P128" s="9">
        <v>16971.2</v>
      </c>
    </row>
    <row r="129" spans="1:19" ht="17.25" customHeight="1">
      <c r="A129" s="177" t="s">
        <v>393</v>
      </c>
      <c r="B129" s="196" t="s">
        <v>394</v>
      </c>
      <c r="C129" s="193">
        <v>156163</v>
      </c>
      <c r="D129" s="193">
        <v>124686</v>
      </c>
      <c r="E129" s="614">
        <v>-124686</v>
      </c>
      <c r="F129" s="629">
        <v>251727</v>
      </c>
      <c r="G129" s="629">
        <v>251727</v>
      </c>
      <c r="H129" s="629">
        <v>53.23</v>
      </c>
      <c r="I129" s="630">
        <f t="shared" si="47"/>
        <v>183975.15000000002</v>
      </c>
      <c r="J129" s="629">
        <v>173367.8</v>
      </c>
      <c r="K129" s="629">
        <v>166483.21</v>
      </c>
      <c r="L129" s="194">
        <f t="shared" si="46"/>
        <v>67751.849999999977</v>
      </c>
      <c r="M129" s="194">
        <f t="shared" si="45"/>
        <v>67751.849999999977</v>
      </c>
      <c r="N129" s="631">
        <f t="shared" si="49"/>
        <v>73.08518752458022</v>
      </c>
      <c r="P129" s="9">
        <v>183921.92000000001</v>
      </c>
      <c r="Q129" t="s">
        <v>12</v>
      </c>
    </row>
    <row r="130" spans="1:19" ht="15.75" customHeight="1">
      <c r="A130" s="177" t="s">
        <v>395</v>
      </c>
      <c r="B130" s="196" t="s">
        <v>396</v>
      </c>
      <c r="C130" s="193">
        <v>98818</v>
      </c>
      <c r="D130" s="193"/>
      <c r="E130" s="616"/>
      <c r="F130" s="629">
        <v>145551</v>
      </c>
      <c r="G130" s="629">
        <v>145551</v>
      </c>
      <c r="H130" s="629">
        <v>6924.39</v>
      </c>
      <c r="I130" s="630">
        <f>+H130+P130</f>
        <v>117785.54</v>
      </c>
      <c r="J130" s="629">
        <v>77964.240000000005</v>
      </c>
      <c r="K130" s="629">
        <v>56310.92</v>
      </c>
      <c r="L130" s="194">
        <f t="shared" si="46"/>
        <v>27765.460000000006</v>
      </c>
      <c r="M130" s="194">
        <f t="shared" si="45"/>
        <v>27765.460000000006</v>
      </c>
      <c r="N130" s="631">
        <f t="shared" si="49"/>
        <v>80.923896091404387</v>
      </c>
      <c r="P130" s="9">
        <v>110861.15</v>
      </c>
    </row>
    <row r="131" spans="1:19" ht="20.25" customHeight="1">
      <c r="A131" s="192" t="s">
        <v>397</v>
      </c>
      <c r="B131" s="197" t="s">
        <v>398</v>
      </c>
      <c r="C131" s="188">
        <f>SUM(C132:C139)</f>
        <v>829295</v>
      </c>
      <c r="D131" s="188"/>
      <c r="E131" s="604"/>
      <c r="F131" s="645">
        <f>SUM(F132:F139)</f>
        <v>726815</v>
      </c>
      <c r="G131" s="645">
        <f>SUM(G132:G139)</f>
        <v>726815</v>
      </c>
      <c r="H131" s="645">
        <f>SUM(H132:H139)</f>
        <v>23408.23</v>
      </c>
      <c r="I131" s="645">
        <f>+P131+H131</f>
        <v>594435.41999999993</v>
      </c>
      <c r="J131" s="645">
        <f>SUM(J132:J139)</f>
        <v>474229.85</v>
      </c>
      <c r="K131" s="645">
        <f>SUM(K132:K139)</f>
        <v>343567.92</v>
      </c>
      <c r="L131" s="646">
        <f t="shared" si="46"/>
        <v>132379.58000000007</v>
      </c>
      <c r="M131" s="646">
        <f t="shared" si="45"/>
        <v>132379.58000000007</v>
      </c>
      <c r="N131" s="647">
        <f t="shared" si="49"/>
        <v>81.786344530588934</v>
      </c>
      <c r="O131" s="6"/>
      <c r="P131" s="111">
        <v>571027.18999999994</v>
      </c>
    </row>
    <row r="132" spans="1:19" ht="12.75" customHeight="1">
      <c r="A132" s="177" t="s">
        <v>399</v>
      </c>
      <c r="B132" s="196" t="s">
        <v>400</v>
      </c>
      <c r="C132" s="193">
        <v>24712</v>
      </c>
      <c r="D132" s="193"/>
      <c r="E132" s="616"/>
      <c r="F132" s="629">
        <v>63212</v>
      </c>
      <c r="G132" s="629">
        <v>63212</v>
      </c>
      <c r="H132" s="629">
        <v>738.36</v>
      </c>
      <c r="I132" s="630">
        <f t="shared" si="47"/>
        <v>44870.590000000004</v>
      </c>
      <c r="J132" s="629">
        <v>35553.93</v>
      </c>
      <c r="K132" s="629">
        <v>24040.25</v>
      </c>
      <c r="L132" s="194">
        <f t="shared" si="46"/>
        <v>18341.409999999996</v>
      </c>
      <c r="M132" s="194">
        <f t="shared" si="45"/>
        <v>18341.409999999996</v>
      </c>
      <c r="N132" s="631">
        <f t="shared" si="49"/>
        <v>70.984290957413151</v>
      </c>
      <c r="P132" s="9">
        <v>44132.23</v>
      </c>
      <c r="S132" s="248" t="s">
        <v>12</v>
      </c>
    </row>
    <row r="133" spans="1:19" ht="16.5" customHeight="1">
      <c r="A133" s="177" t="s">
        <v>401</v>
      </c>
      <c r="B133" s="190" t="s">
        <v>402</v>
      </c>
      <c r="C133" s="189">
        <v>88222</v>
      </c>
      <c r="D133" s="189"/>
      <c r="E133" s="615"/>
      <c r="F133" s="629">
        <v>22322</v>
      </c>
      <c r="G133" s="629">
        <v>22322</v>
      </c>
      <c r="H133" s="629">
        <v>125.7</v>
      </c>
      <c r="I133" s="630">
        <f t="shared" si="47"/>
        <v>10801.79</v>
      </c>
      <c r="J133" s="629">
        <v>10676.09</v>
      </c>
      <c r="K133" s="629">
        <v>9709.8799999999992</v>
      </c>
      <c r="L133" s="194">
        <f t="shared" si="46"/>
        <v>11520.21</v>
      </c>
      <c r="M133" s="194">
        <f t="shared" si="45"/>
        <v>11520.21</v>
      </c>
      <c r="N133" s="631">
        <f t="shared" si="49"/>
        <v>48.39078039602186</v>
      </c>
      <c r="P133" s="9">
        <v>10676.09</v>
      </c>
    </row>
    <row r="134" spans="1:19" ht="13.5" customHeight="1">
      <c r="A134" s="177" t="s">
        <v>403</v>
      </c>
      <c r="B134" s="190" t="s">
        <v>404</v>
      </c>
      <c r="C134" s="189">
        <v>79068</v>
      </c>
      <c r="D134" s="189"/>
      <c r="E134" s="615"/>
      <c r="F134" s="629">
        <v>94718</v>
      </c>
      <c r="G134" s="629">
        <v>94718</v>
      </c>
      <c r="H134" s="629"/>
      <c r="I134" s="630">
        <f t="shared" si="47"/>
        <v>70918.78</v>
      </c>
      <c r="J134" s="629">
        <v>64274.35</v>
      </c>
      <c r="K134" s="629">
        <v>14492.6</v>
      </c>
      <c r="L134" s="194">
        <f t="shared" si="46"/>
        <v>23799.22</v>
      </c>
      <c r="M134" s="194">
        <f t="shared" si="45"/>
        <v>23799.22</v>
      </c>
      <c r="N134" s="631">
        <f t="shared" si="49"/>
        <v>74.873603750079184</v>
      </c>
      <c r="P134" s="9">
        <v>70918.78</v>
      </c>
    </row>
    <row r="135" spans="1:19" ht="16.5" customHeight="1">
      <c r="A135" s="177" t="s">
        <v>405</v>
      </c>
      <c r="B135" s="190" t="s">
        <v>406</v>
      </c>
      <c r="C135" s="189">
        <v>180216</v>
      </c>
      <c r="D135" s="189"/>
      <c r="E135" s="615"/>
      <c r="F135" s="629">
        <v>93316</v>
      </c>
      <c r="G135" s="629">
        <v>93316</v>
      </c>
      <c r="H135" s="629">
        <v>1203.22</v>
      </c>
      <c r="I135" s="630">
        <f t="shared" si="47"/>
        <v>82127.360000000001</v>
      </c>
      <c r="J135" s="629">
        <v>51163.03</v>
      </c>
      <c r="K135" s="629">
        <v>38313.67</v>
      </c>
      <c r="L135" s="194">
        <f t="shared" si="46"/>
        <v>11188.64</v>
      </c>
      <c r="M135" s="194">
        <f t="shared" si="45"/>
        <v>11188.64</v>
      </c>
      <c r="N135" s="631">
        <f t="shared" si="49"/>
        <v>88.009944704016462</v>
      </c>
      <c r="P135" s="9">
        <v>80924.14</v>
      </c>
    </row>
    <row r="136" spans="1:19" ht="12.75" customHeight="1">
      <c r="A136" s="177" t="s">
        <v>407</v>
      </c>
      <c r="B136" s="190" t="s">
        <v>408</v>
      </c>
      <c r="C136" s="189">
        <v>320615</v>
      </c>
      <c r="D136" s="189"/>
      <c r="E136" s="615"/>
      <c r="F136" s="629">
        <v>281415</v>
      </c>
      <c r="G136" s="629">
        <v>281415</v>
      </c>
      <c r="H136" s="629">
        <v>20010.23</v>
      </c>
      <c r="I136" s="630">
        <f t="shared" si="47"/>
        <v>238496.30000000002</v>
      </c>
      <c r="J136" s="629">
        <v>169485.37</v>
      </c>
      <c r="K136" s="629">
        <v>164822.56</v>
      </c>
      <c r="L136" s="194">
        <f t="shared" si="46"/>
        <v>42918.699999999983</v>
      </c>
      <c r="M136" s="194">
        <f t="shared" si="45"/>
        <v>42918.699999999983</v>
      </c>
      <c r="N136" s="631">
        <f t="shared" si="49"/>
        <v>84.748965051614164</v>
      </c>
      <c r="P136" s="9">
        <v>218486.07</v>
      </c>
    </row>
    <row r="137" spans="1:19" ht="15" customHeight="1">
      <c r="A137" s="177">
        <v>277</v>
      </c>
      <c r="B137" s="190" t="s">
        <v>409</v>
      </c>
      <c r="C137" s="189">
        <v>13843</v>
      </c>
      <c r="D137" s="189"/>
      <c r="E137" s="615"/>
      <c r="F137" s="629">
        <v>4993</v>
      </c>
      <c r="G137" s="629">
        <v>4993</v>
      </c>
      <c r="H137" s="629"/>
      <c r="I137" s="630">
        <f t="shared" si="47"/>
        <v>4166.43</v>
      </c>
      <c r="J137" s="629">
        <v>4166.43</v>
      </c>
      <c r="K137" s="629">
        <v>3978.11</v>
      </c>
      <c r="L137" s="194">
        <f t="shared" si="46"/>
        <v>826.56999999999971</v>
      </c>
      <c r="M137" s="194">
        <f t="shared" si="45"/>
        <v>826.56999999999971</v>
      </c>
      <c r="N137" s="631">
        <f t="shared" si="49"/>
        <v>83.445423593030242</v>
      </c>
      <c r="P137" s="9">
        <v>4166.43</v>
      </c>
    </row>
    <row r="138" spans="1:19" ht="15" customHeight="1">
      <c r="A138" s="177">
        <v>278</v>
      </c>
      <c r="B138" s="190" t="s">
        <v>410</v>
      </c>
      <c r="C138" s="189">
        <v>14300</v>
      </c>
      <c r="D138" s="189"/>
      <c r="E138" s="615"/>
      <c r="F138" s="629">
        <v>1800</v>
      </c>
      <c r="G138" s="629">
        <v>1800</v>
      </c>
      <c r="H138" s="629"/>
      <c r="I138" s="630">
        <f t="shared" si="47"/>
        <v>0</v>
      </c>
      <c r="J138" s="630"/>
      <c r="K138" s="630">
        <v>0</v>
      </c>
      <c r="L138" s="194">
        <f t="shared" si="46"/>
        <v>1800</v>
      </c>
      <c r="M138" s="194">
        <f t="shared" si="45"/>
        <v>1800</v>
      </c>
      <c r="N138" s="631"/>
      <c r="P138" s="9">
        <v>0</v>
      </c>
    </row>
    <row r="139" spans="1:19" ht="15" customHeight="1">
      <c r="A139" s="177" t="s">
        <v>411</v>
      </c>
      <c r="B139" s="190" t="s">
        <v>412</v>
      </c>
      <c r="C139" s="189">
        <v>108319</v>
      </c>
      <c r="D139" s="189"/>
      <c r="E139" s="615"/>
      <c r="F139" s="629">
        <v>165039</v>
      </c>
      <c r="G139" s="629">
        <v>165039</v>
      </c>
      <c r="H139" s="629">
        <v>1330.72</v>
      </c>
      <c r="I139" s="630">
        <f t="shared" si="47"/>
        <v>143053.97</v>
      </c>
      <c r="J139" s="629">
        <v>138910.65</v>
      </c>
      <c r="K139" s="629">
        <v>88210.85</v>
      </c>
      <c r="L139" s="194">
        <f t="shared" si="46"/>
        <v>21985.03</v>
      </c>
      <c r="M139" s="194">
        <f t="shared" si="45"/>
        <v>21985.03</v>
      </c>
      <c r="N139" s="631">
        <f t="shared" ref="N139:N153" si="50">+I139*100/G139</f>
        <v>86.6788880204073</v>
      </c>
      <c r="P139" s="9">
        <v>141723.25</v>
      </c>
    </row>
    <row r="140" spans="1:19" ht="15" customHeight="1">
      <c r="A140" s="192" t="s">
        <v>413</v>
      </c>
      <c r="B140" s="187" t="s">
        <v>414</v>
      </c>
      <c r="C140" s="187">
        <v>208309</v>
      </c>
      <c r="D140" s="198"/>
      <c r="E140" s="198"/>
      <c r="F140" s="632">
        <v>383709</v>
      </c>
      <c r="G140" s="632">
        <v>383709</v>
      </c>
      <c r="H140" s="632">
        <v>35531.370000000003</v>
      </c>
      <c r="I140" s="626">
        <f>+H140+P140</f>
        <v>297632.52999999997</v>
      </c>
      <c r="J140" s="632">
        <v>218312.75</v>
      </c>
      <c r="K140" s="632">
        <v>206877.91</v>
      </c>
      <c r="L140" s="646">
        <f t="shared" si="46"/>
        <v>86076.47000000003</v>
      </c>
      <c r="M140" s="646">
        <f t="shared" si="45"/>
        <v>86076.47000000003</v>
      </c>
      <c r="N140" s="647">
        <f t="shared" si="50"/>
        <v>77.567252787919998</v>
      </c>
      <c r="P140" s="111">
        <v>262101.15999999997</v>
      </c>
    </row>
    <row r="141" spans="1:19" ht="15" customHeight="1">
      <c r="A141" s="176">
        <v>290</v>
      </c>
      <c r="B141" s="199" t="s">
        <v>415</v>
      </c>
      <c r="C141" s="199">
        <f>SUM(C142:C149)</f>
        <v>0</v>
      </c>
      <c r="D141" s="199">
        <f>+D144</f>
        <v>25000</v>
      </c>
      <c r="E141" s="613">
        <f>+E144</f>
        <v>-25000</v>
      </c>
      <c r="F141" s="626">
        <f>SUM(F142:F150)</f>
        <v>411355</v>
      </c>
      <c r="G141" s="626">
        <f>SUM(G142:G150)</f>
        <v>411355</v>
      </c>
      <c r="H141" s="626">
        <f>SUM(H142:H150)</f>
        <v>4339.1099999999997</v>
      </c>
      <c r="I141" s="626">
        <f t="shared" si="47"/>
        <v>314430.11</v>
      </c>
      <c r="J141" s="645">
        <f>SUM(J142:J150)</f>
        <v>59225.090000000004</v>
      </c>
      <c r="K141" s="626">
        <f>SUM(K142:K150)</f>
        <v>245495.46000000002</v>
      </c>
      <c r="L141" s="627">
        <f t="shared" si="46"/>
        <v>96924.890000000014</v>
      </c>
      <c r="M141" s="627">
        <f t="shared" si="45"/>
        <v>96924.890000000014</v>
      </c>
      <c r="N141" s="647">
        <f t="shared" si="50"/>
        <v>76.437653608197294</v>
      </c>
      <c r="O141">
        <v>0</v>
      </c>
      <c r="P141" s="111">
        <v>310091</v>
      </c>
      <c r="Q141" s="9" t="s">
        <v>12</v>
      </c>
    </row>
    <row r="142" spans="1:19" ht="15" customHeight="1">
      <c r="A142" s="177">
        <v>291</v>
      </c>
      <c r="B142" s="200" t="s">
        <v>416</v>
      </c>
      <c r="C142" s="199"/>
      <c r="D142" s="199"/>
      <c r="E142" s="617"/>
      <c r="F142" s="629">
        <v>11000</v>
      </c>
      <c r="G142" s="629">
        <v>11000</v>
      </c>
      <c r="H142" s="629">
        <v>23</v>
      </c>
      <c r="I142" s="630">
        <f>+H142+P142</f>
        <v>8627</v>
      </c>
      <c r="J142" s="629">
        <v>8627</v>
      </c>
      <c r="K142" s="629">
        <v>8637</v>
      </c>
      <c r="L142" s="194">
        <f t="shared" si="46"/>
        <v>2373</v>
      </c>
      <c r="M142" s="194">
        <f t="shared" si="45"/>
        <v>2373</v>
      </c>
      <c r="N142" s="631">
        <f t="shared" si="50"/>
        <v>78.427272727272722</v>
      </c>
      <c r="P142" s="9">
        <v>8604</v>
      </c>
    </row>
    <row r="143" spans="1:19" ht="15" customHeight="1">
      <c r="A143" s="179">
        <v>292</v>
      </c>
      <c r="B143" s="200" t="s">
        <v>417</v>
      </c>
      <c r="C143" s="202"/>
      <c r="D143" s="202"/>
      <c r="E143" s="618"/>
      <c r="F143" s="629">
        <v>5890</v>
      </c>
      <c r="G143" s="629">
        <v>5890</v>
      </c>
      <c r="H143" s="629"/>
      <c r="I143" s="630">
        <f t="shared" ref="I143:I150" si="51">+P143+H143</f>
        <v>4513.1899999999996</v>
      </c>
      <c r="J143" s="629">
        <v>98.55</v>
      </c>
      <c r="K143" s="629">
        <v>4513.1899999999996</v>
      </c>
      <c r="L143" s="194">
        <f t="shared" si="46"/>
        <v>1376.8100000000004</v>
      </c>
      <c r="M143" s="194">
        <f t="shared" si="45"/>
        <v>1376.8100000000004</v>
      </c>
      <c r="N143" s="631">
        <f t="shared" si="50"/>
        <v>76.6246179966044</v>
      </c>
      <c r="P143" s="9">
        <v>4513.1899999999996</v>
      </c>
      <c r="Q143" t="s">
        <v>12</v>
      </c>
    </row>
    <row r="144" spans="1:19" ht="15" customHeight="1">
      <c r="A144" s="177">
        <v>293</v>
      </c>
      <c r="B144" s="200" t="s">
        <v>418</v>
      </c>
      <c r="C144" s="201"/>
      <c r="D144" s="201">
        <v>25000</v>
      </c>
      <c r="E144" s="614">
        <v>-25000</v>
      </c>
      <c r="F144" s="629">
        <v>126200</v>
      </c>
      <c r="G144" s="629">
        <v>126200</v>
      </c>
      <c r="H144" s="629">
        <v>4316.1099999999997</v>
      </c>
      <c r="I144" s="630">
        <f t="shared" si="51"/>
        <v>54690.939999999995</v>
      </c>
      <c r="J144" s="629">
        <v>23066.47</v>
      </c>
      <c r="K144" s="629">
        <v>45252.19</v>
      </c>
      <c r="L144" s="194">
        <f t="shared" si="46"/>
        <v>71509.06</v>
      </c>
      <c r="M144" s="194">
        <f t="shared" si="45"/>
        <v>71509.06</v>
      </c>
      <c r="N144" s="631">
        <f t="shared" si="50"/>
        <v>43.336719492868454</v>
      </c>
      <c r="P144" s="9">
        <v>50374.829999999994</v>
      </c>
    </row>
    <row r="145" spans="1:19" ht="15" customHeight="1">
      <c r="A145" s="177">
        <v>294</v>
      </c>
      <c r="B145" s="200" t="s">
        <v>419</v>
      </c>
      <c r="C145" s="201"/>
      <c r="D145" s="201"/>
      <c r="E145" s="619"/>
      <c r="F145" s="629">
        <v>2800</v>
      </c>
      <c r="G145" s="629">
        <v>2800</v>
      </c>
      <c r="H145" s="629"/>
      <c r="I145" s="630">
        <f t="shared" si="51"/>
        <v>2457.87</v>
      </c>
      <c r="J145" s="629">
        <v>399.99</v>
      </c>
      <c r="K145" s="629">
        <v>2457.87</v>
      </c>
      <c r="L145" s="194">
        <f t="shared" si="46"/>
        <v>342.13000000000011</v>
      </c>
      <c r="M145" s="194">
        <f t="shared" si="45"/>
        <v>342.13000000000011</v>
      </c>
      <c r="N145" s="631">
        <f t="shared" si="50"/>
        <v>87.781071428571423</v>
      </c>
      <c r="P145" s="9">
        <v>2457.87</v>
      </c>
    </row>
    <row r="146" spans="1:19" ht="15" customHeight="1">
      <c r="A146" s="177">
        <v>295</v>
      </c>
      <c r="B146" s="201" t="s">
        <v>420</v>
      </c>
      <c r="C146" s="199"/>
      <c r="D146" s="199"/>
      <c r="E146" s="617"/>
      <c r="F146" s="629">
        <v>16050</v>
      </c>
      <c r="G146" s="629">
        <v>16050</v>
      </c>
      <c r="H146" s="629"/>
      <c r="I146" s="630">
        <f t="shared" si="51"/>
        <v>16032.88</v>
      </c>
      <c r="J146" s="629"/>
      <c r="K146" s="629"/>
      <c r="L146" s="194">
        <f t="shared" si="46"/>
        <v>17.1200000000008</v>
      </c>
      <c r="M146" s="194">
        <f t="shared" si="45"/>
        <v>17.1200000000008</v>
      </c>
      <c r="N146" s="631" t="s">
        <v>12</v>
      </c>
      <c r="P146" s="9">
        <v>16032.88</v>
      </c>
    </row>
    <row r="147" spans="1:19" ht="15" customHeight="1">
      <c r="A147" s="177">
        <v>296</v>
      </c>
      <c r="B147" s="200" t="s">
        <v>421</v>
      </c>
      <c r="C147" s="201"/>
      <c r="D147" s="201"/>
      <c r="E147" s="619"/>
      <c r="F147" s="629">
        <v>123550</v>
      </c>
      <c r="G147" s="629">
        <v>123550</v>
      </c>
      <c r="H147" s="629"/>
      <c r="I147" s="630">
        <f t="shared" si="51"/>
        <v>116636.65</v>
      </c>
      <c r="J147" s="629">
        <v>15552.72</v>
      </c>
      <c r="K147" s="629">
        <v>82841.64</v>
      </c>
      <c r="L147" s="194">
        <f t="shared" si="46"/>
        <v>6913.3500000000058</v>
      </c>
      <c r="M147" s="194">
        <f t="shared" si="45"/>
        <v>6913.3500000000058</v>
      </c>
      <c r="N147" s="631">
        <f t="shared" si="50"/>
        <v>94.40441116956697</v>
      </c>
      <c r="P147" s="9">
        <v>116636.65</v>
      </c>
    </row>
    <row r="148" spans="1:19" ht="15" customHeight="1">
      <c r="A148" s="177">
        <v>297</v>
      </c>
      <c r="B148" s="201" t="s">
        <v>422</v>
      </c>
      <c r="C148" s="199"/>
      <c r="D148" s="199"/>
      <c r="E148" s="617"/>
      <c r="F148" s="629">
        <v>50260</v>
      </c>
      <c r="G148" s="629">
        <v>50260</v>
      </c>
      <c r="H148" s="629"/>
      <c r="I148" s="630">
        <f t="shared" si="51"/>
        <v>39607</v>
      </c>
      <c r="J148" s="629">
        <v>956.28</v>
      </c>
      <c r="K148" s="629">
        <v>34470.01</v>
      </c>
      <c r="L148" s="194">
        <f t="shared" si="46"/>
        <v>10653</v>
      </c>
      <c r="M148" s="194">
        <f t="shared" si="45"/>
        <v>10653</v>
      </c>
      <c r="N148" s="631">
        <f t="shared" si="50"/>
        <v>78.804218066056507</v>
      </c>
      <c r="P148" s="9">
        <v>39607</v>
      </c>
    </row>
    <row r="149" spans="1:19" ht="15" customHeight="1">
      <c r="A149" s="177">
        <v>298</v>
      </c>
      <c r="B149" s="201" t="s">
        <v>423</v>
      </c>
      <c r="C149" s="199"/>
      <c r="D149" s="199"/>
      <c r="E149" s="617"/>
      <c r="F149" s="629">
        <v>58535</v>
      </c>
      <c r="G149" s="629">
        <v>58535</v>
      </c>
      <c r="H149" s="629"/>
      <c r="I149" s="630">
        <f t="shared" si="51"/>
        <v>55551.58</v>
      </c>
      <c r="J149" s="629">
        <v>9756.89</v>
      </c>
      <c r="K149" s="629">
        <v>53846.06</v>
      </c>
      <c r="L149" s="194">
        <f t="shared" si="46"/>
        <v>2983.4199999999983</v>
      </c>
      <c r="M149" s="194">
        <f t="shared" si="45"/>
        <v>2983.4199999999983</v>
      </c>
      <c r="N149" s="631">
        <f t="shared" si="50"/>
        <v>94.903186127957639</v>
      </c>
      <c r="P149" s="9">
        <v>55551.58</v>
      </c>
    </row>
    <row r="150" spans="1:19" ht="15" customHeight="1">
      <c r="A150" s="177">
        <v>299</v>
      </c>
      <c r="B150" s="201" t="s">
        <v>424</v>
      </c>
      <c r="C150" s="199"/>
      <c r="D150" s="199"/>
      <c r="E150" s="617"/>
      <c r="F150" s="629">
        <v>17070</v>
      </c>
      <c r="G150" s="629">
        <v>17070</v>
      </c>
      <c r="H150" s="629"/>
      <c r="I150" s="630">
        <f t="shared" si="51"/>
        <v>16313</v>
      </c>
      <c r="J150" s="629">
        <v>767.19</v>
      </c>
      <c r="K150" s="629">
        <v>13477.5</v>
      </c>
      <c r="L150" s="194">
        <f t="shared" si="46"/>
        <v>757</v>
      </c>
      <c r="M150" s="194">
        <f t="shared" si="45"/>
        <v>757</v>
      </c>
      <c r="N150" s="631">
        <f t="shared" si="50"/>
        <v>95.565319273579377</v>
      </c>
      <c r="P150" s="9">
        <v>16313</v>
      </c>
    </row>
    <row r="151" spans="1:19" ht="15" customHeight="1">
      <c r="A151" s="203">
        <v>4</v>
      </c>
      <c r="B151" s="204" t="s">
        <v>425</v>
      </c>
      <c r="C151" s="204">
        <f>SUM(C152)</f>
        <v>3207914</v>
      </c>
      <c r="D151" s="204"/>
      <c r="E151" s="620"/>
      <c r="F151" s="633">
        <f>+F152+F154</f>
        <v>2295040</v>
      </c>
      <c r="G151" s="633">
        <f>+G152+G154</f>
        <v>2295040</v>
      </c>
      <c r="H151" s="633">
        <f>+H152+H154</f>
        <v>93913.2</v>
      </c>
      <c r="I151" s="633">
        <f>P151+H151</f>
        <v>1526869.43</v>
      </c>
      <c r="J151" s="633">
        <f>+J152+J154</f>
        <v>1211342.54</v>
      </c>
      <c r="K151" s="633">
        <f>+K152+K154</f>
        <v>1066583.6299999999</v>
      </c>
      <c r="L151" s="634">
        <f t="shared" ref="L151:L166" si="52">+G151-I151</f>
        <v>768170.57000000007</v>
      </c>
      <c r="M151" s="634">
        <f t="shared" si="45"/>
        <v>768170.57000000007</v>
      </c>
      <c r="N151" s="649">
        <f t="shared" si="50"/>
        <v>66.529098839235914</v>
      </c>
      <c r="P151" s="111">
        <v>1432956.23</v>
      </c>
      <c r="Q151" t="s">
        <v>12</v>
      </c>
      <c r="R151" s="1" t="s">
        <v>12</v>
      </c>
    </row>
    <row r="152" spans="1:19" ht="15" customHeight="1">
      <c r="A152" s="176">
        <v>430</v>
      </c>
      <c r="B152" s="191" t="s">
        <v>426</v>
      </c>
      <c r="C152" s="191">
        <f>SUM(C153)</f>
        <v>3207914</v>
      </c>
      <c r="D152" s="191"/>
      <c r="E152" s="621"/>
      <c r="F152" s="626">
        <v>2200790</v>
      </c>
      <c r="G152" s="626">
        <f>+G153</f>
        <v>2200790</v>
      </c>
      <c r="H152" s="626">
        <f>+H153</f>
        <v>93913.2</v>
      </c>
      <c r="I152" s="626">
        <f>+P152+H152</f>
        <v>1456173.5099999998</v>
      </c>
      <c r="J152" s="626">
        <f>+J153</f>
        <v>1185535.68</v>
      </c>
      <c r="K152" s="626">
        <f>SUM(K153)</f>
        <v>1018193.62</v>
      </c>
      <c r="L152" s="627">
        <f t="shared" si="52"/>
        <v>744616.49000000022</v>
      </c>
      <c r="M152" s="627">
        <f t="shared" si="45"/>
        <v>744616.49000000022</v>
      </c>
      <c r="N152" s="628">
        <f t="shared" si="50"/>
        <v>66.165945410511668</v>
      </c>
      <c r="P152" s="111">
        <v>1362260.3099999998</v>
      </c>
    </row>
    <row r="153" spans="1:19" ht="13.5" customHeight="1">
      <c r="A153" s="177">
        <v>439</v>
      </c>
      <c r="B153" s="189" t="s">
        <v>427</v>
      </c>
      <c r="C153" s="189">
        <v>3207914</v>
      </c>
      <c r="D153" s="189"/>
      <c r="E153" s="615"/>
      <c r="F153" s="629">
        <v>2200790</v>
      </c>
      <c r="G153" s="629">
        <v>2200790</v>
      </c>
      <c r="H153" s="629">
        <v>93913.2</v>
      </c>
      <c r="I153" s="630">
        <f>+P153+H153</f>
        <v>1456173.5099999998</v>
      </c>
      <c r="J153" s="629">
        <v>1185535.68</v>
      </c>
      <c r="K153" s="629">
        <v>1018193.62</v>
      </c>
      <c r="L153" s="194">
        <f t="shared" si="52"/>
        <v>744616.49000000022</v>
      </c>
      <c r="M153" s="194">
        <f t="shared" si="45"/>
        <v>744616.49000000022</v>
      </c>
      <c r="N153" s="631">
        <f t="shared" si="50"/>
        <v>66.165945410511668</v>
      </c>
      <c r="P153" s="9">
        <v>1362260.3099999998</v>
      </c>
    </row>
    <row r="154" spans="1:19" ht="16.5" customHeight="1">
      <c r="A154" s="176">
        <v>490</v>
      </c>
      <c r="B154" s="191" t="s">
        <v>428</v>
      </c>
      <c r="C154" s="189">
        <f>SUM(C155)</f>
        <v>0</v>
      </c>
      <c r="D154" s="189"/>
      <c r="E154" s="615"/>
      <c r="F154" s="626">
        <f>+F155</f>
        <v>94250</v>
      </c>
      <c r="G154" s="626">
        <f>+G155</f>
        <v>94250</v>
      </c>
      <c r="H154" s="626">
        <f>+H155</f>
        <v>0</v>
      </c>
      <c r="I154" s="626">
        <f>+I155</f>
        <v>70695.92</v>
      </c>
      <c r="J154" s="626">
        <v>25806.86</v>
      </c>
      <c r="K154" s="626">
        <f>K155</f>
        <v>48390.01</v>
      </c>
      <c r="L154" s="627">
        <f t="shared" si="52"/>
        <v>23554.080000000002</v>
      </c>
      <c r="M154" s="627">
        <f t="shared" si="45"/>
        <v>23554.080000000002</v>
      </c>
      <c r="N154" s="628">
        <f t="shared" ref="N154:N159" si="53">+I154*100/G154</f>
        <v>75.008933687002653</v>
      </c>
      <c r="P154" s="111">
        <v>70695.92</v>
      </c>
    </row>
    <row r="155" spans="1:19" ht="13.5" customHeight="1">
      <c r="A155" s="177">
        <v>494</v>
      </c>
      <c r="B155" s="189" t="s">
        <v>429</v>
      </c>
      <c r="C155" s="189"/>
      <c r="D155" s="189"/>
      <c r="E155" s="615"/>
      <c r="F155" s="629">
        <v>94250</v>
      </c>
      <c r="G155" s="629">
        <v>94250</v>
      </c>
      <c r="H155" s="629"/>
      <c r="I155" s="630">
        <f>+P155+H155</f>
        <v>70695.92</v>
      </c>
      <c r="J155" s="629">
        <v>25806.86</v>
      </c>
      <c r="K155" s="629">
        <v>48390.01</v>
      </c>
      <c r="L155" s="194">
        <f t="shared" si="52"/>
        <v>23554.080000000002</v>
      </c>
      <c r="M155" s="194">
        <f t="shared" ref="M155:M166" si="54">+F155-I155</f>
        <v>23554.080000000002</v>
      </c>
      <c r="N155" s="631">
        <f t="shared" si="53"/>
        <v>75.008933687002653</v>
      </c>
      <c r="P155" s="9">
        <v>70695.92</v>
      </c>
    </row>
    <row r="156" spans="1:19" ht="15.75" customHeight="1">
      <c r="A156" s="203" t="s">
        <v>430</v>
      </c>
      <c r="B156" s="205" t="s">
        <v>431</v>
      </c>
      <c r="C156" s="204">
        <f>C157+C159+C164+C170+C174+C168</f>
        <v>2251594</v>
      </c>
      <c r="D156" s="204"/>
      <c r="E156" s="620"/>
      <c r="F156" s="633">
        <f>+F157+F159+F164+F168+F170+F174</f>
        <v>4323441</v>
      </c>
      <c r="G156" s="633">
        <f>G157+G159+G164+G170+G174+G168</f>
        <v>4313594</v>
      </c>
      <c r="H156" s="633">
        <f>H157+H159+H164+H170+H174+H168</f>
        <v>116909.12999999999</v>
      </c>
      <c r="I156" s="650">
        <f>I157+I159+I164+I170+I174+I168</f>
        <v>2330654.69</v>
      </c>
      <c r="J156" s="633">
        <f>J157+J159+J164+J170+J174+J168</f>
        <v>2231590.81</v>
      </c>
      <c r="K156" s="633">
        <f>K157+K159+K164+K170+K174+K168</f>
        <v>2222815.48</v>
      </c>
      <c r="L156" s="634">
        <f t="shared" si="52"/>
        <v>1982939.31</v>
      </c>
      <c r="M156" s="634">
        <f t="shared" si="54"/>
        <v>1992786.31</v>
      </c>
      <c r="N156" s="649">
        <f t="shared" si="53"/>
        <v>54.030460214846364</v>
      </c>
      <c r="P156" s="212">
        <v>2213745.56</v>
      </c>
      <c r="Q156" t="s">
        <v>12</v>
      </c>
      <c r="R156" s="1" t="s">
        <v>12</v>
      </c>
    </row>
    <row r="157" spans="1:19">
      <c r="A157" s="176" t="s">
        <v>432</v>
      </c>
      <c r="B157" s="206" t="s">
        <v>433</v>
      </c>
      <c r="C157" s="191">
        <f>SUM(C158)</f>
        <v>118164</v>
      </c>
      <c r="D157" s="191"/>
      <c r="E157" s="621"/>
      <c r="F157" s="626">
        <f>SUM(F158)</f>
        <v>118164</v>
      </c>
      <c r="G157" s="651">
        <f>+G158</f>
        <v>108317</v>
      </c>
      <c r="H157" s="626">
        <v>3373.87</v>
      </c>
      <c r="I157" s="626">
        <f>SUM(I158)</f>
        <v>37112.57</v>
      </c>
      <c r="J157" s="626">
        <f>+J158</f>
        <v>37112.57</v>
      </c>
      <c r="K157" s="626">
        <f>+K158</f>
        <v>37112.57</v>
      </c>
      <c r="L157" s="627">
        <f t="shared" si="52"/>
        <v>71204.429999999993</v>
      </c>
      <c r="M157" s="627">
        <f t="shared" si="54"/>
        <v>81051.429999999993</v>
      </c>
      <c r="N157" s="628">
        <f t="shared" si="53"/>
        <v>34.262922717578959</v>
      </c>
      <c r="P157" s="9">
        <v>33738.699999999997</v>
      </c>
    </row>
    <row r="158" spans="1:19" ht="13.5" customHeight="1">
      <c r="A158" s="177" t="s">
        <v>434</v>
      </c>
      <c r="B158" s="190" t="s">
        <v>435</v>
      </c>
      <c r="C158" s="189">
        <v>118164</v>
      </c>
      <c r="D158" s="189"/>
      <c r="E158" s="615"/>
      <c r="F158" s="629">
        <v>118164</v>
      </c>
      <c r="G158" s="629">
        <v>108317</v>
      </c>
      <c r="H158" s="629">
        <v>3373.87</v>
      </c>
      <c r="I158" s="630">
        <f>+P158+H158</f>
        <v>37112.57</v>
      </c>
      <c r="J158" s="629">
        <v>37112.57</v>
      </c>
      <c r="K158" s="629">
        <v>37112.57</v>
      </c>
      <c r="L158" s="194">
        <f t="shared" si="52"/>
        <v>71204.429999999993</v>
      </c>
      <c r="M158" s="194">
        <f t="shared" si="54"/>
        <v>81051.429999999993</v>
      </c>
      <c r="N158" s="631">
        <f t="shared" si="53"/>
        <v>34.262922717578959</v>
      </c>
      <c r="P158" s="9">
        <v>33738.699999999997</v>
      </c>
      <c r="Q158" t="s">
        <v>12</v>
      </c>
      <c r="R158" t="s">
        <v>12</v>
      </c>
    </row>
    <row r="159" spans="1:19">
      <c r="A159" s="8" t="s">
        <v>436</v>
      </c>
      <c r="B159" s="191" t="s">
        <v>283</v>
      </c>
      <c r="C159" s="191">
        <f>SUM(C160:C163)</f>
        <v>956224</v>
      </c>
      <c r="D159" s="191"/>
      <c r="E159" s="621"/>
      <c r="F159" s="626">
        <f>SUM(F160:F163)</f>
        <v>3767724</v>
      </c>
      <c r="G159" s="626">
        <f>+G160+G161+G162+G163</f>
        <v>3767724</v>
      </c>
      <c r="H159" s="626">
        <f>+H160+H161+H162+H163</f>
        <v>111935.26</v>
      </c>
      <c r="I159" s="626">
        <f>+P159+H159</f>
        <v>2114019.33</v>
      </c>
      <c r="J159" s="626">
        <f>+Q159+I159</f>
        <v>2114019.33</v>
      </c>
      <c r="K159" s="626">
        <f>SUM(K160:K163)</f>
        <v>2114019.33</v>
      </c>
      <c r="L159" s="627">
        <f t="shared" si="52"/>
        <v>1653704.67</v>
      </c>
      <c r="M159" s="627">
        <f t="shared" si="54"/>
        <v>1653704.67</v>
      </c>
      <c r="N159" s="628">
        <f t="shared" si="53"/>
        <v>56.10865684429114</v>
      </c>
      <c r="P159" s="9">
        <v>2002084.07</v>
      </c>
      <c r="S159" s="1" t="s">
        <v>12</v>
      </c>
    </row>
    <row r="160" spans="1:19" ht="14.25" customHeight="1">
      <c r="A160" s="177">
        <v>611</v>
      </c>
      <c r="B160" s="189" t="s">
        <v>437</v>
      </c>
      <c r="C160" s="189">
        <v>1800</v>
      </c>
      <c r="D160" s="189"/>
      <c r="E160" s="615"/>
      <c r="F160" s="629">
        <v>4300</v>
      </c>
      <c r="G160" s="629">
        <v>4300</v>
      </c>
      <c r="H160" s="629"/>
      <c r="I160" s="630">
        <f>+P160+H160</f>
        <v>0</v>
      </c>
      <c r="J160" s="630"/>
      <c r="K160" s="630">
        <v>0</v>
      </c>
      <c r="L160" s="194">
        <f t="shared" si="52"/>
        <v>4300</v>
      </c>
      <c r="M160" s="194">
        <f t="shared" si="54"/>
        <v>4300</v>
      </c>
      <c r="N160" s="631"/>
      <c r="P160" s="9">
        <v>0</v>
      </c>
    </row>
    <row r="161" spans="1:17" ht="13.5" customHeight="1">
      <c r="A161" s="177">
        <v>612</v>
      </c>
      <c r="B161" s="189" t="s">
        <v>438</v>
      </c>
      <c r="C161" s="189">
        <v>172962</v>
      </c>
      <c r="D161" s="189"/>
      <c r="E161" s="615"/>
      <c r="F161" s="629">
        <v>2088962</v>
      </c>
      <c r="G161" s="629">
        <v>2088962</v>
      </c>
      <c r="H161" s="629">
        <v>111935.26</v>
      </c>
      <c r="I161" s="638">
        <f>+H161+P161</f>
        <v>1304326.5</v>
      </c>
      <c r="J161" s="629">
        <v>1304326.5</v>
      </c>
      <c r="K161" s="629">
        <v>1304326.5</v>
      </c>
      <c r="L161" s="194">
        <f t="shared" si="52"/>
        <v>784635.5</v>
      </c>
      <c r="M161" s="194">
        <f t="shared" si="54"/>
        <v>784635.5</v>
      </c>
      <c r="N161" s="631">
        <f>+I161*100/G161</f>
        <v>62.438976869852105</v>
      </c>
      <c r="P161" s="9">
        <v>1192391.24</v>
      </c>
    </row>
    <row r="162" spans="1:17" ht="12.75" customHeight="1">
      <c r="A162" s="177">
        <v>614</v>
      </c>
      <c r="B162" s="189" t="s">
        <v>439</v>
      </c>
      <c r="C162" s="189">
        <v>727916</v>
      </c>
      <c r="D162" s="189"/>
      <c r="E162" s="615"/>
      <c r="F162" s="629">
        <v>1620916</v>
      </c>
      <c r="G162" s="629">
        <v>1620916</v>
      </c>
      <c r="H162" s="629"/>
      <c r="I162" s="630">
        <f>+P162+H162</f>
        <v>802072.83</v>
      </c>
      <c r="J162" s="629">
        <v>802072.83</v>
      </c>
      <c r="K162" s="629">
        <v>802072.83</v>
      </c>
      <c r="L162" s="194">
        <f t="shared" si="52"/>
        <v>818843.17</v>
      </c>
      <c r="M162" s="194">
        <f t="shared" si="54"/>
        <v>818843.17</v>
      </c>
      <c r="N162" s="631">
        <f>+I162*100/G162</f>
        <v>49.482689417588574</v>
      </c>
      <c r="P162" s="9">
        <v>802072.83</v>
      </c>
    </row>
    <row r="163" spans="1:17" ht="13.5" customHeight="1">
      <c r="A163" s="177">
        <v>619</v>
      </c>
      <c r="B163" s="189" t="s">
        <v>440</v>
      </c>
      <c r="C163" s="189">
        <v>53546</v>
      </c>
      <c r="D163" s="189"/>
      <c r="E163" s="615"/>
      <c r="F163" s="629">
        <v>53546</v>
      </c>
      <c r="G163" s="629">
        <v>53546</v>
      </c>
      <c r="H163" s="629"/>
      <c r="I163" s="630">
        <f>+P163+H163</f>
        <v>7620</v>
      </c>
      <c r="J163" s="629">
        <v>7620</v>
      </c>
      <c r="K163" s="629">
        <v>7620</v>
      </c>
      <c r="L163" s="194">
        <f t="shared" si="52"/>
        <v>45926</v>
      </c>
      <c r="M163" s="194">
        <f t="shared" si="54"/>
        <v>45926</v>
      </c>
      <c r="N163" s="631" t="s">
        <v>12</v>
      </c>
      <c r="P163" s="9">
        <v>7620</v>
      </c>
    </row>
    <row r="164" spans="1:17" ht="13.5" customHeight="1">
      <c r="A164" s="176">
        <v>620</v>
      </c>
      <c r="B164" s="191" t="s">
        <v>441</v>
      </c>
      <c r="C164" s="191">
        <f>+C165+C166+C167</f>
        <v>730940</v>
      </c>
      <c r="D164" s="191"/>
      <c r="E164" s="621"/>
      <c r="F164" s="626">
        <f>+F165+F166+F167</f>
        <v>143207</v>
      </c>
      <c r="G164" s="626">
        <f t="shared" ref="G164:K164" si="55">+G165+G166+G167</f>
        <v>143207</v>
      </c>
      <c r="H164" s="626">
        <f t="shared" si="55"/>
        <v>1600</v>
      </c>
      <c r="I164" s="626">
        <f t="shared" si="55"/>
        <v>130203.58</v>
      </c>
      <c r="J164" s="626">
        <f>+J166</f>
        <v>79558.91</v>
      </c>
      <c r="K164" s="626">
        <f t="shared" si="55"/>
        <v>70783.58</v>
      </c>
      <c r="L164" s="627">
        <f t="shared" si="52"/>
        <v>13003.419999999998</v>
      </c>
      <c r="M164" s="627">
        <f t="shared" si="54"/>
        <v>13003.419999999998</v>
      </c>
      <c r="N164" s="628">
        <f>+I164*100/G164</f>
        <v>90.919843303749118</v>
      </c>
      <c r="P164" s="111">
        <v>128603.58</v>
      </c>
    </row>
    <row r="165" spans="1:17" ht="13.5" customHeight="1">
      <c r="A165" s="177" t="s">
        <v>442</v>
      </c>
      <c r="B165" s="189" t="s">
        <v>443</v>
      </c>
      <c r="C165" s="189">
        <v>70000</v>
      </c>
      <c r="D165" s="189"/>
      <c r="E165" s="615"/>
      <c r="F165" s="629"/>
      <c r="G165" s="629"/>
      <c r="H165" s="629"/>
      <c r="I165" s="630">
        <f>+P165+H165</f>
        <v>0</v>
      </c>
      <c r="J165" s="630"/>
      <c r="K165" s="630">
        <v>0</v>
      </c>
      <c r="L165" s="194">
        <f t="shared" si="52"/>
        <v>0</v>
      </c>
      <c r="M165" s="194">
        <f t="shared" si="54"/>
        <v>0</v>
      </c>
      <c r="N165" s="631" t="s">
        <v>11</v>
      </c>
      <c r="P165" s="9">
        <v>0</v>
      </c>
    </row>
    <row r="166" spans="1:17" ht="12" customHeight="1">
      <c r="A166" s="177">
        <v>624</v>
      </c>
      <c r="B166" s="189" t="s">
        <v>444</v>
      </c>
      <c r="C166" s="189">
        <v>648440</v>
      </c>
      <c r="D166" s="189"/>
      <c r="E166" s="615"/>
      <c r="F166" s="629">
        <v>143207</v>
      </c>
      <c r="G166" s="629">
        <v>143207</v>
      </c>
      <c r="H166" s="629">
        <v>1600</v>
      </c>
      <c r="I166" s="630">
        <f>+P166+H166</f>
        <v>130203.58</v>
      </c>
      <c r="J166" s="629">
        <v>79558.91</v>
      </c>
      <c r="K166" s="629">
        <v>70783.58</v>
      </c>
      <c r="L166" s="194">
        <f t="shared" si="52"/>
        <v>13003.419999999998</v>
      </c>
      <c r="M166" s="194">
        <f t="shared" si="54"/>
        <v>13003.419999999998</v>
      </c>
      <c r="N166" s="631">
        <f>+I166*100/G166</f>
        <v>90.919843303749118</v>
      </c>
      <c r="P166" s="9">
        <v>128603.58</v>
      </c>
    </row>
    <row r="167" spans="1:17" ht="12" customHeight="1">
      <c r="A167" s="177">
        <v>629</v>
      </c>
      <c r="B167" s="189" t="s">
        <v>445</v>
      </c>
      <c r="C167" s="189">
        <v>12500</v>
      </c>
      <c r="D167" s="189"/>
      <c r="E167" s="615"/>
      <c r="F167" s="629"/>
      <c r="G167" s="629"/>
      <c r="H167" s="629"/>
      <c r="I167" s="630"/>
      <c r="J167" s="630"/>
      <c r="K167" s="630"/>
      <c r="L167" s="194"/>
      <c r="M167" s="194"/>
      <c r="N167" s="631"/>
      <c r="P167" s="9"/>
    </row>
    <row r="168" spans="1:17" ht="12" customHeight="1">
      <c r="A168" s="176">
        <v>640</v>
      </c>
      <c r="B168" s="191" t="s">
        <v>446</v>
      </c>
      <c r="C168" s="191">
        <f>+C169</f>
        <v>159266</v>
      </c>
      <c r="D168" s="191"/>
      <c r="E168" s="621"/>
      <c r="F168" s="626">
        <f>+F169</f>
        <v>159266</v>
      </c>
      <c r="G168" s="626">
        <f>+G169</f>
        <v>159266</v>
      </c>
      <c r="H168" s="626">
        <f t="shared" ref="H168:M168" si="56">+H169</f>
        <v>0</v>
      </c>
      <c r="I168" s="626">
        <f t="shared" si="56"/>
        <v>0</v>
      </c>
      <c r="J168" s="626">
        <f t="shared" si="56"/>
        <v>0</v>
      </c>
      <c r="K168" s="626">
        <f t="shared" si="56"/>
        <v>0</v>
      </c>
      <c r="L168" s="627">
        <f t="shared" si="56"/>
        <v>0</v>
      </c>
      <c r="M168" s="627">
        <f t="shared" si="56"/>
        <v>0</v>
      </c>
      <c r="N168" s="631"/>
      <c r="P168" s="9">
        <v>0</v>
      </c>
    </row>
    <row r="169" spans="1:17" ht="12" customHeight="1">
      <c r="A169" s="177">
        <v>641</v>
      </c>
      <c r="B169" s="189" t="s">
        <v>447</v>
      </c>
      <c r="C169" s="189">
        <v>159266</v>
      </c>
      <c r="D169" s="189"/>
      <c r="E169" s="615"/>
      <c r="F169" s="630">
        <v>159266</v>
      </c>
      <c r="G169" s="630">
        <v>159266</v>
      </c>
      <c r="H169" s="630"/>
      <c r="I169" s="630"/>
      <c r="J169" s="630"/>
      <c r="K169" s="630"/>
      <c r="L169" s="194"/>
      <c r="M169" s="194"/>
      <c r="N169" s="652"/>
      <c r="P169" s="9"/>
    </row>
    <row r="170" spans="1:17">
      <c r="A170" s="176" t="s">
        <v>448</v>
      </c>
      <c r="B170" s="206" t="s">
        <v>449</v>
      </c>
      <c r="C170" s="191">
        <f>SUM(C171:C173)</f>
        <v>287000</v>
      </c>
      <c r="D170" s="191"/>
      <c r="E170" s="621"/>
      <c r="F170" s="626">
        <f>SUM(F171:F173)</f>
        <v>93500</v>
      </c>
      <c r="G170" s="626">
        <f>SUM(G171:G173)</f>
        <v>93500</v>
      </c>
      <c r="H170" s="626">
        <f>SUM(H171:H173)</f>
        <v>0</v>
      </c>
      <c r="I170" s="626">
        <f t="shared" ref="I170:I175" si="57">+P170+H170</f>
        <v>25424.21</v>
      </c>
      <c r="J170" s="626">
        <f>+J172+J173</f>
        <v>900</v>
      </c>
      <c r="K170" s="626">
        <f>SUM(K171:K173)</f>
        <v>900</v>
      </c>
      <c r="L170" s="627">
        <f>+G170-I170</f>
        <v>68075.790000000008</v>
      </c>
      <c r="M170" s="627">
        <f t="shared" ref="M170:M175" si="58">+F170-I170</f>
        <v>68075.790000000008</v>
      </c>
      <c r="N170" s="628">
        <f>+I170*100/G170</f>
        <v>27.191668449197859</v>
      </c>
      <c r="P170" s="111">
        <v>25424.21</v>
      </c>
    </row>
    <row r="171" spans="1:17" ht="13.5" customHeight="1">
      <c r="A171" s="177">
        <v>662</v>
      </c>
      <c r="B171" s="190" t="s">
        <v>450</v>
      </c>
      <c r="C171" s="189">
        <v>116000</v>
      </c>
      <c r="D171" s="189"/>
      <c r="E171" s="615"/>
      <c r="F171" s="630">
        <v>52500</v>
      </c>
      <c r="G171" s="630">
        <v>52500</v>
      </c>
      <c r="H171" s="630">
        <v>0</v>
      </c>
      <c r="I171" s="630">
        <v>16500</v>
      </c>
      <c r="J171" s="630"/>
      <c r="K171" s="630">
        <v>0</v>
      </c>
      <c r="L171" s="194">
        <f>+G171-I171</f>
        <v>36000</v>
      </c>
      <c r="M171" s="194">
        <f t="shared" si="58"/>
        <v>36000</v>
      </c>
      <c r="N171" s="631">
        <f>+I171*100/G171</f>
        <v>31.428571428571427</v>
      </c>
      <c r="P171" s="9">
        <v>16500</v>
      </c>
      <c r="Q171" t="s">
        <v>136</v>
      </c>
    </row>
    <row r="172" spans="1:17" ht="11.25" customHeight="1">
      <c r="A172" s="177" t="s">
        <v>451</v>
      </c>
      <c r="B172" s="190" t="s">
        <v>452</v>
      </c>
      <c r="C172" s="189">
        <v>0</v>
      </c>
      <c r="D172" s="189"/>
      <c r="E172" s="615"/>
      <c r="F172" s="630">
        <v>7000</v>
      </c>
      <c r="G172" s="630">
        <v>7000</v>
      </c>
      <c r="H172" s="630">
        <v>0</v>
      </c>
      <c r="I172" s="630">
        <v>5790</v>
      </c>
      <c r="J172" s="630"/>
      <c r="K172" s="630">
        <v>0</v>
      </c>
      <c r="L172" s="194" t="s">
        <v>12</v>
      </c>
      <c r="M172" s="194">
        <f t="shared" si="58"/>
        <v>1210</v>
      </c>
      <c r="N172" s="631">
        <f>+I172*100/G172</f>
        <v>82.714285714285708</v>
      </c>
      <c r="P172" s="9">
        <v>5790</v>
      </c>
    </row>
    <row r="173" spans="1:17" ht="12.75" customHeight="1">
      <c r="A173" s="177" t="s">
        <v>453</v>
      </c>
      <c r="B173" s="190" t="s">
        <v>454</v>
      </c>
      <c r="C173" s="189">
        <v>171000</v>
      </c>
      <c r="D173" s="189"/>
      <c r="E173" s="615"/>
      <c r="F173" s="630">
        <v>34000</v>
      </c>
      <c r="G173" s="630">
        <v>34000</v>
      </c>
      <c r="H173" s="630">
        <v>0</v>
      </c>
      <c r="I173" s="630">
        <f t="shared" si="57"/>
        <v>3134.21</v>
      </c>
      <c r="J173" s="629">
        <v>900</v>
      </c>
      <c r="K173" s="629">
        <v>900</v>
      </c>
      <c r="L173" s="194">
        <f>+G173-I173</f>
        <v>30865.79</v>
      </c>
      <c r="M173" s="194">
        <f t="shared" si="58"/>
        <v>30865.79</v>
      </c>
      <c r="N173" s="631">
        <f>+I173*100/G173</f>
        <v>9.218264705882353</v>
      </c>
      <c r="P173" s="9">
        <v>3134.21</v>
      </c>
    </row>
    <row r="174" spans="1:17" ht="17.25" customHeight="1">
      <c r="A174" s="176">
        <v>690</v>
      </c>
      <c r="B174" s="191" t="s">
        <v>455</v>
      </c>
      <c r="C174" s="191">
        <f>+C175</f>
        <v>0</v>
      </c>
      <c r="D174" s="191"/>
      <c r="E174" s="621"/>
      <c r="F174" s="626">
        <f>+F177+F176</f>
        <v>41580</v>
      </c>
      <c r="G174" s="626">
        <f>+G177+G176</f>
        <v>41580</v>
      </c>
      <c r="H174" s="626"/>
      <c r="I174" s="626">
        <f t="shared" si="57"/>
        <v>23895</v>
      </c>
      <c r="J174" s="630"/>
      <c r="K174" s="626">
        <f>+K175</f>
        <v>0</v>
      </c>
      <c r="L174" s="627">
        <f>+G174-I174</f>
        <v>17685</v>
      </c>
      <c r="M174" s="627">
        <f t="shared" si="58"/>
        <v>17685</v>
      </c>
      <c r="N174" s="628">
        <f>+I174*100/G174</f>
        <v>57.467532467532465</v>
      </c>
      <c r="P174" s="111">
        <v>23895</v>
      </c>
    </row>
    <row r="175" spans="1:17" ht="15.75" customHeight="1">
      <c r="A175" s="177">
        <v>692</v>
      </c>
      <c r="B175" s="190" t="s">
        <v>456</v>
      </c>
      <c r="C175" s="189"/>
      <c r="D175" s="189"/>
      <c r="E175" s="615"/>
      <c r="F175" s="630"/>
      <c r="G175" s="630">
        <v>0</v>
      </c>
      <c r="H175" s="630">
        <v>0</v>
      </c>
      <c r="I175" s="630">
        <f t="shared" si="57"/>
        <v>0</v>
      </c>
      <c r="J175" s="630"/>
      <c r="K175" s="630">
        <v>0</v>
      </c>
      <c r="L175" s="194">
        <f>+G175-I175</f>
        <v>0</v>
      </c>
      <c r="M175" s="194">
        <f t="shared" si="58"/>
        <v>0</v>
      </c>
      <c r="N175" s="631" t="s">
        <v>12</v>
      </c>
      <c r="P175" s="9">
        <v>0</v>
      </c>
    </row>
    <row r="176" spans="1:17" ht="18" customHeight="1">
      <c r="A176" s="177">
        <v>693</v>
      </c>
      <c r="B176" s="190" t="s">
        <v>457</v>
      </c>
      <c r="C176" s="189"/>
      <c r="D176" s="189"/>
      <c r="E176" s="615"/>
      <c r="F176" s="630">
        <v>2000</v>
      </c>
      <c r="G176" s="630">
        <v>2000</v>
      </c>
      <c r="H176" s="630"/>
      <c r="I176" s="630"/>
      <c r="J176" s="630"/>
      <c r="K176" s="630"/>
      <c r="L176" s="194"/>
      <c r="M176" s="194"/>
      <c r="N176" s="631" t="s">
        <v>12</v>
      </c>
      <c r="P176" s="9"/>
    </row>
    <row r="177" spans="1:16" ht="15.75" customHeight="1" thickBot="1">
      <c r="A177" s="177">
        <v>697</v>
      </c>
      <c r="B177" s="190" t="s">
        <v>458</v>
      </c>
      <c r="C177" s="189"/>
      <c r="D177" s="189"/>
      <c r="E177" s="622"/>
      <c r="F177" s="653">
        <f>22080+17500</f>
        <v>39580</v>
      </c>
      <c r="G177" s="653">
        <v>39580</v>
      </c>
      <c r="H177" s="653"/>
      <c r="I177" s="653">
        <f>+P177+H177</f>
        <v>23895</v>
      </c>
      <c r="J177" s="653"/>
      <c r="K177" s="653"/>
      <c r="L177" s="654">
        <f>+G177-I177</f>
        <v>15685</v>
      </c>
      <c r="M177" s="655">
        <f>+F177-I177</f>
        <v>15685</v>
      </c>
      <c r="N177" s="656">
        <f>+I177*100/G177</f>
        <v>60.371399696816574</v>
      </c>
      <c r="P177" s="9">
        <v>23895</v>
      </c>
    </row>
    <row r="178" spans="1:16" ht="28.9" customHeight="1" thickBot="1">
      <c r="A178" s="207" t="s">
        <v>12</v>
      </c>
      <c r="B178" s="208" t="s">
        <v>459</v>
      </c>
      <c r="C178" s="209">
        <f>+C156+C151+C91+C36+C11</f>
        <v>141094806</v>
      </c>
      <c r="D178" s="209">
        <f>+D36+D91</f>
        <v>637113</v>
      </c>
      <c r="E178" s="603">
        <f>+E36+E91</f>
        <v>-637113</v>
      </c>
      <c r="F178" s="532">
        <f>+F156+F151+F91+F36+F11</f>
        <v>140457693</v>
      </c>
      <c r="G178" s="533">
        <f>+G156+G151+G91+G36+G11</f>
        <v>127888568</v>
      </c>
      <c r="H178" s="534">
        <f>+H156+H151+H91+H36+H11</f>
        <v>10431178.010000002</v>
      </c>
      <c r="I178" s="535">
        <f>+I11+I36+I91+I151+I156</f>
        <v>110834293.74000001</v>
      </c>
      <c r="J178" s="532">
        <f>+J156+J151+J91+J36+J11</f>
        <v>96135535.760000005</v>
      </c>
      <c r="K178" s="532">
        <f>+K156+K151+K91+K36+K11</f>
        <v>104430742.75</v>
      </c>
      <c r="L178" s="213">
        <f>+G178-I178</f>
        <v>17054274.25999999</v>
      </c>
      <c r="M178" s="209">
        <f>+F178-I178</f>
        <v>29623399.25999999</v>
      </c>
      <c r="N178" s="214">
        <f>+I178*100/G178</f>
        <v>86.664739056269667</v>
      </c>
      <c r="P178" s="9">
        <v>100399270.21000001</v>
      </c>
    </row>
    <row r="179" spans="1:16">
      <c r="H179" s="210"/>
      <c r="J179" s="151" t="s">
        <v>12</v>
      </c>
      <c r="K179" s="151" t="s">
        <v>12</v>
      </c>
    </row>
    <row r="180" spans="1:16">
      <c r="H180" s="210"/>
    </row>
    <row r="181" spans="1:16">
      <c r="D181" s="211" t="s">
        <v>12</v>
      </c>
      <c r="E181" s="211"/>
      <c r="H181" s="210"/>
    </row>
    <row r="182" spans="1:16">
      <c r="H182" s="210"/>
    </row>
    <row r="183" spans="1:16">
      <c r="H183" s="210"/>
      <c r="I183" s="211"/>
    </row>
    <row r="184" spans="1:16">
      <c r="H184" s="210"/>
    </row>
    <row r="185" spans="1:16">
      <c r="H185" s="210"/>
    </row>
    <row r="186" spans="1:16">
      <c r="H186" s="210"/>
    </row>
    <row r="187" spans="1:16">
      <c r="H187" s="210"/>
    </row>
    <row r="188" spans="1:16">
      <c r="F188" s="210"/>
      <c r="G188" s="211"/>
      <c r="H188" s="210"/>
      <c r="J188" s="211"/>
      <c r="K188" s="211"/>
      <c r="P188" s="9"/>
    </row>
    <row r="189" spans="1:16">
      <c r="F189" s="211"/>
      <c r="I189" s="210"/>
      <c r="K189" s="215"/>
    </row>
    <row r="190" spans="1:16">
      <c r="F190" s="215"/>
      <c r="G190" s="211"/>
      <c r="I190" s="210"/>
      <c r="K190" s="211"/>
    </row>
    <row r="191" spans="1:16">
      <c r="F191" s="211"/>
    </row>
    <row r="192" spans="1:16">
      <c r="F192" s="210"/>
      <c r="I192" s="210"/>
    </row>
    <row r="193" spans="2:6">
      <c r="B193" s="216"/>
      <c r="F193" s="210"/>
    </row>
    <row r="194" spans="2:6">
      <c r="C194" s="210"/>
      <c r="D194" s="210"/>
      <c r="E194" s="210"/>
    </row>
    <row r="195" spans="2:6">
      <c r="C195" s="210"/>
      <c r="D195" s="210"/>
      <c r="E195" s="210"/>
    </row>
    <row r="196" spans="2:6">
      <c r="C196" s="210"/>
      <c r="D196" s="210"/>
      <c r="E196" s="210"/>
    </row>
    <row r="197" spans="2:6">
      <c r="C197" s="210"/>
      <c r="D197" s="210"/>
      <c r="E197" s="210"/>
    </row>
  </sheetData>
  <mergeCells count="13">
    <mergeCell ref="P8:P10"/>
    <mergeCell ref="C8:G9"/>
    <mergeCell ref="H8:I9"/>
    <mergeCell ref="L8:M10"/>
    <mergeCell ref="A2:N2"/>
    <mergeCell ref="A3:N3"/>
    <mergeCell ref="A4:N4"/>
    <mergeCell ref="A5:N5"/>
    <mergeCell ref="A8:A10"/>
    <mergeCell ref="B8:B10"/>
    <mergeCell ref="J8:J10"/>
    <mergeCell ref="K8:K10"/>
    <mergeCell ref="N8:N10"/>
  </mergeCells>
  <pageMargins left="0.511811023622047" right="0.118110236220472" top="0.55118110236220497" bottom="0.55118110236220497" header="0.31496062992126" footer="0.31496062992126"/>
  <pageSetup scale="80" orientation="portrait"/>
  <ignoredErrors>
    <ignoredError sqref="A115:B115 A12:A33 A116:A140 L115:M115 Q115:XFD115 O115 A85:A88 A89:A114 A34:A84" numberStoredAsText="1"/>
    <ignoredError sqref="K125 C131 G131 C44 G44:H44 F16:G16 G22:H22 J44:K44 J131 C16 H29" formulaRange="1"/>
    <ignoredError sqref="J16:K16" formula="1" formulaRange="1"/>
    <ignoredError sqref="I29 I67:I69 I133:I134 F11:F12 I86:I88 I151:I152 I136:I139 I177:I178 I103:I104 I156:I161 I82:I83 G61 I114:I116 J164 G159 I71:I76 I54 I154 I96:I101 I107:I110 I123:I128 I141:I142 I111:I112 F156 I117:I121 F72 I173:I175 I130 I44 I57 I61 E95 I89:I91 I162:I170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tabColor theme="6" tint="-0.249977111117893"/>
  </sheetPr>
  <dimension ref="A1:T149"/>
  <sheetViews>
    <sheetView showGridLines="0" showZeros="0" workbookViewId="0">
      <selection sqref="A1:M58"/>
    </sheetView>
  </sheetViews>
  <sheetFormatPr baseColWidth="10" defaultColWidth="11" defaultRowHeight="12.75"/>
  <cols>
    <col min="1" max="1" width="4.85546875" customWidth="1"/>
    <col min="2" max="2" width="32.5703125" customWidth="1"/>
    <col min="3" max="3" width="12.5703125" customWidth="1"/>
    <col min="4" max="4" width="11.85546875" hidden="1" customWidth="1"/>
    <col min="5" max="5" width="13.28515625" customWidth="1"/>
    <col min="6" max="6" width="12.42578125" customWidth="1"/>
    <col min="7" max="7" width="14.5703125" hidden="1" customWidth="1"/>
    <col min="8" max="8" width="15.42578125" customWidth="1"/>
    <col min="9" max="9" width="11.28515625" customWidth="1"/>
    <col min="10" max="10" width="13" customWidth="1"/>
    <col min="11" max="11" width="11" customWidth="1"/>
    <col min="12" max="12" width="13.42578125" hidden="1" customWidth="1"/>
    <col min="13" max="13" width="12.140625" style="3" customWidth="1"/>
  </cols>
  <sheetData>
    <row r="1" spans="1:13" ht="20.25" customHeight="1">
      <c r="A1" s="677" t="s">
        <v>541</v>
      </c>
      <c r="B1" s="677"/>
      <c r="C1" s="677"/>
      <c r="D1" s="677"/>
      <c r="E1" s="677"/>
      <c r="F1" s="677"/>
      <c r="G1" s="677"/>
      <c r="H1" s="677"/>
      <c r="I1" s="677"/>
      <c r="J1" s="677"/>
      <c r="K1" s="677"/>
      <c r="L1" s="677"/>
      <c r="M1" s="677"/>
    </row>
    <row r="2" spans="1:13" ht="18.75" customHeight="1">
      <c r="A2" s="677" t="s">
        <v>60</v>
      </c>
      <c r="B2" s="677"/>
      <c r="C2" s="677"/>
      <c r="D2" s="677"/>
      <c r="E2" s="677"/>
      <c r="F2" s="677"/>
      <c r="G2" s="677"/>
      <c r="H2" s="677"/>
      <c r="I2" s="677"/>
      <c r="J2" s="677"/>
      <c r="K2" s="677"/>
      <c r="L2" s="677"/>
      <c r="M2" s="677"/>
    </row>
    <row r="3" spans="1:13" ht="19.899999999999999" customHeight="1">
      <c r="A3" s="678" t="s">
        <v>461</v>
      </c>
      <c r="B3" s="678"/>
      <c r="C3" s="678"/>
      <c r="D3" s="678"/>
      <c r="E3" s="678"/>
      <c r="F3" s="678"/>
      <c r="G3" s="678"/>
      <c r="H3" s="678"/>
      <c r="I3" s="678"/>
      <c r="J3" s="678"/>
      <c r="K3" s="678"/>
      <c r="L3" s="678"/>
      <c r="M3" s="678"/>
    </row>
    <row r="4" spans="1:13" ht="19.899999999999999" customHeight="1">
      <c r="A4" s="678" t="s">
        <v>537</v>
      </c>
      <c r="B4" s="678"/>
      <c r="C4" s="678"/>
      <c r="D4" s="678"/>
      <c r="E4" s="678"/>
      <c r="F4" s="678"/>
      <c r="G4" s="678"/>
      <c r="H4" s="678"/>
      <c r="I4" s="678"/>
      <c r="J4" s="678"/>
      <c r="K4" s="678"/>
      <c r="L4" s="678"/>
      <c r="M4" s="678"/>
    </row>
    <row r="5" spans="1:13" ht="6" customHeight="1">
      <c r="A5" s="773"/>
      <c r="B5" s="773"/>
      <c r="C5" s="773"/>
      <c r="D5" s="773"/>
      <c r="E5" s="773"/>
      <c r="F5" s="773"/>
      <c r="G5" s="773"/>
      <c r="H5" s="773"/>
      <c r="I5" s="773"/>
      <c r="J5" s="773"/>
      <c r="K5" s="773"/>
      <c r="L5" s="773"/>
      <c r="M5" s="773"/>
    </row>
    <row r="6" spans="1:13" ht="19.899999999999999" customHeight="1">
      <c r="A6" s="752" t="s">
        <v>462</v>
      </c>
      <c r="B6" s="755" t="s">
        <v>0</v>
      </c>
      <c r="C6" s="767" t="s">
        <v>50</v>
      </c>
      <c r="D6" s="768"/>
      <c r="E6" s="768"/>
      <c r="F6" s="768"/>
      <c r="G6" s="768"/>
      <c r="H6" s="768"/>
      <c r="I6" s="768"/>
      <c r="J6" s="769"/>
      <c r="K6" s="761" t="s">
        <v>42</v>
      </c>
      <c r="L6" s="762"/>
      <c r="M6" s="758" t="s">
        <v>43</v>
      </c>
    </row>
    <row r="7" spans="1:13" ht="6" customHeight="1">
      <c r="A7" s="753"/>
      <c r="B7" s="756"/>
      <c r="C7" s="770"/>
      <c r="D7" s="771"/>
      <c r="E7" s="771"/>
      <c r="F7" s="771"/>
      <c r="G7" s="771"/>
      <c r="H7" s="771"/>
      <c r="I7" s="771"/>
      <c r="J7" s="772"/>
      <c r="K7" s="763"/>
      <c r="L7" s="764"/>
      <c r="M7" s="759"/>
    </row>
    <row r="8" spans="1:13" ht="34.5" customHeight="1">
      <c r="A8" s="754"/>
      <c r="B8" s="757"/>
      <c r="C8" s="115" t="s">
        <v>2</v>
      </c>
      <c r="D8" s="115" t="s">
        <v>529</v>
      </c>
      <c r="E8" s="116" t="s">
        <v>64</v>
      </c>
      <c r="F8" s="115" t="s">
        <v>25</v>
      </c>
      <c r="G8" s="117" t="s">
        <v>65</v>
      </c>
      <c r="H8" s="118" t="s">
        <v>44</v>
      </c>
      <c r="I8" s="118" t="s">
        <v>48</v>
      </c>
      <c r="J8" s="118" t="s">
        <v>45</v>
      </c>
      <c r="K8" s="765"/>
      <c r="L8" s="766"/>
      <c r="M8" s="760"/>
    </row>
    <row r="9" spans="1:13" ht="31.5" customHeight="1">
      <c r="A9" s="119" t="s">
        <v>193</v>
      </c>
      <c r="B9" s="120" t="s">
        <v>194</v>
      </c>
      <c r="C9" s="121">
        <f t="shared" ref="C9:F9" si="0">SUM(C10+C14+C15+C16+C17+C18+C19)</f>
        <v>125299729</v>
      </c>
      <c r="D9" s="121"/>
      <c r="E9" s="121">
        <f t="shared" si="0"/>
        <v>122382084</v>
      </c>
      <c r="F9" s="121">
        <f t="shared" si="0"/>
        <v>109822806</v>
      </c>
      <c r="G9" s="121">
        <f t="shared" ref="G9:J9" si="1">SUM(G10+G14+G15+G16+G17+G18+G19)</f>
        <v>9639374.7200000007</v>
      </c>
      <c r="H9" s="121">
        <f t="shared" si="1"/>
        <v>98155855.439999998</v>
      </c>
      <c r="I9" s="121">
        <f t="shared" si="1"/>
        <v>85254978.310000002</v>
      </c>
      <c r="J9" s="121">
        <f t="shared" si="1"/>
        <v>94728447.439999998</v>
      </c>
      <c r="K9" s="121">
        <f>+F9-H9</f>
        <v>11666950.560000002</v>
      </c>
      <c r="L9" s="121">
        <f>+E9-H9</f>
        <v>24226228.560000002</v>
      </c>
      <c r="M9" s="516">
        <f>+FUNCIONAMIENTO!N11</f>
        <v>89.37656850618076</v>
      </c>
    </row>
    <row r="10" spans="1:13" ht="18" customHeight="1">
      <c r="A10" s="122" t="s">
        <v>195</v>
      </c>
      <c r="B10" s="123" t="s">
        <v>196</v>
      </c>
      <c r="C10" s="124">
        <f>SUM(C11:C13)</f>
        <v>83395405</v>
      </c>
      <c r="D10" s="124"/>
      <c r="E10" s="124">
        <f>+E11+E12+E13</f>
        <v>81474320</v>
      </c>
      <c r="F10" s="124">
        <f>SUM(F11:F13)</f>
        <v>74603247</v>
      </c>
      <c r="G10" s="124">
        <f>SUM(G11:G13)</f>
        <v>6940446.1000000006</v>
      </c>
      <c r="H10" s="124">
        <f>SUM(H11:H13)</f>
        <v>66699301.030000001</v>
      </c>
      <c r="I10" s="125">
        <f>+I11+I12+I13</f>
        <v>66732316.420000002</v>
      </c>
      <c r="J10" s="124">
        <f>SUM(J11:J13)</f>
        <v>66699301.030000001</v>
      </c>
      <c r="K10" s="124">
        <f>+F10-H10</f>
        <v>7903945.9699999988</v>
      </c>
      <c r="L10" s="124">
        <f>+E10-H10</f>
        <v>14775018.969999999</v>
      </c>
      <c r="M10" s="517">
        <f>+FUNCIONAMIENTO!N12</f>
        <v>89.405359300246005</v>
      </c>
    </row>
    <row r="11" spans="1:13" ht="16.5" customHeight="1">
      <c r="A11" s="126" t="s">
        <v>197</v>
      </c>
      <c r="B11" s="127" t="s">
        <v>196</v>
      </c>
      <c r="C11" s="128">
        <f>+FUNCIONAMIENTO!C13</f>
        <v>71073045</v>
      </c>
      <c r="D11" s="128"/>
      <c r="E11" s="128">
        <f>+FUNCIONAMIENTO!F13</f>
        <v>68825045</v>
      </c>
      <c r="F11" s="128">
        <f>+FUNCIONAMIENTO!G13</f>
        <v>62861972</v>
      </c>
      <c r="G11" s="128">
        <f>+FUNCIONAMIENTO!H13</f>
        <v>5244435.28</v>
      </c>
      <c r="H11" s="128">
        <f>+FUNCIONAMIENTO!I13</f>
        <v>56451704.560000002</v>
      </c>
      <c r="I11" s="128">
        <f>+FUNCIONAMIENTO!J13</f>
        <v>56482016.619999997</v>
      </c>
      <c r="J11" s="128">
        <f>+FUNCIONAMIENTO!K13</f>
        <v>56451704.560000002</v>
      </c>
      <c r="K11" s="128">
        <f>+FUNCIONAMIENTO!L13</f>
        <v>6410267.4399999976</v>
      </c>
      <c r="L11" s="128">
        <f>+FUNCIONAMIENTO!M13</f>
        <v>12373340.439999998</v>
      </c>
      <c r="M11" s="518">
        <f>+FUNCIONAMIENTO!N13</f>
        <v>89.802630690618486</v>
      </c>
    </row>
    <row r="12" spans="1:13" ht="15.75" customHeight="1">
      <c r="A12" s="126" t="s">
        <v>198</v>
      </c>
      <c r="B12" s="127" t="s">
        <v>199</v>
      </c>
      <c r="C12" s="128">
        <f>+FUNCIONAMIENTO!C14</f>
        <v>3944236</v>
      </c>
      <c r="D12" s="128"/>
      <c r="E12" s="128">
        <f>+FUNCIONAMIENTO!F14</f>
        <v>3844236</v>
      </c>
      <c r="F12" s="128">
        <f>+FUNCIONAMIENTO!G14</f>
        <v>3510238</v>
      </c>
      <c r="G12" s="128">
        <f>+FUNCIONAMIENTO!H14</f>
        <v>278950.24</v>
      </c>
      <c r="H12" s="128">
        <f>+FUNCIONAMIENTO!I14</f>
        <v>2803809.4400000004</v>
      </c>
      <c r="I12" s="128">
        <f>+FUNCIONAMIENTO!J14</f>
        <v>2806512.77</v>
      </c>
      <c r="J12" s="128">
        <f>+FUNCIONAMIENTO!K14</f>
        <v>2803809.44</v>
      </c>
      <c r="K12" s="128">
        <f>+FUNCIONAMIENTO!L14</f>
        <v>706428.55999999959</v>
      </c>
      <c r="L12" s="128">
        <f>+FUNCIONAMIENTO!M14</f>
        <v>1040426.5599999996</v>
      </c>
      <c r="M12" s="518">
        <f>+FUNCIONAMIENTO!N14</f>
        <v>79.87519478736202</v>
      </c>
    </row>
    <row r="13" spans="1:13" ht="18.75" customHeight="1">
      <c r="A13" s="126" t="s">
        <v>200</v>
      </c>
      <c r="B13" s="127" t="s">
        <v>201</v>
      </c>
      <c r="C13" s="128">
        <f>+FUNCIONAMIENTO!C15</f>
        <v>8378124</v>
      </c>
      <c r="D13" s="128"/>
      <c r="E13" s="128">
        <f>+FUNCIONAMIENTO!F15</f>
        <v>8805039</v>
      </c>
      <c r="F13" s="128">
        <f>+FUNCIONAMIENTO!G15</f>
        <v>8231037</v>
      </c>
      <c r="G13" s="128">
        <f>+FUNCIONAMIENTO!H15</f>
        <v>1417060.58</v>
      </c>
      <c r="H13" s="128">
        <f>+FUNCIONAMIENTO!I15</f>
        <v>7443787.0300000003</v>
      </c>
      <c r="I13" s="128">
        <f>+FUNCIONAMIENTO!J15</f>
        <v>7443787.0300000003</v>
      </c>
      <c r="J13" s="128">
        <f>+FUNCIONAMIENTO!K15</f>
        <v>7443787.0300000003</v>
      </c>
      <c r="K13" s="128">
        <f>+FUNCIONAMIENTO!L15</f>
        <v>787249.96999999974</v>
      </c>
      <c r="L13" s="128">
        <f>+FUNCIONAMIENTO!M15</f>
        <v>1361251.9699999997</v>
      </c>
      <c r="M13" s="518">
        <f>+FUNCIONAMIENTO!N15</f>
        <v>90.43559189443566</v>
      </c>
    </row>
    <row r="14" spans="1:13" ht="18" customHeight="1">
      <c r="A14" s="126" t="s">
        <v>202</v>
      </c>
      <c r="B14" s="127" t="s">
        <v>203</v>
      </c>
      <c r="C14" s="128">
        <f>+FUNCIONAMIENTO!C16</f>
        <v>17439165</v>
      </c>
      <c r="D14" s="128"/>
      <c r="E14" s="128">
        <f>+FUNCIONAMIENTO!F16</f>
        <v>16647165</v>
      </c>
      <c r="F14" s="128">
        <f>+FUNCIONAMIENTO!G16</f>
        <v>15081150</v>
      </c>
      <c r="G14" s="128">
        <f>+FUNCIONAMIENTO!H16</f>
        <v>1367798.58</v>
      </c>
      <c r="H14" s="128">
        <f>+FUNCIONAMIENTO!I16</f>
        <v>13811594.949999999</v>
      </c>
      <c r="I14" s="128">
        <f>+FUNCIONAMIENTO!J16</f>
        <v>13815519.329999998</v>
      </c>
      <c r="J14" s="128">
        <f>+FUNCIONAMIENTO!K16</f>
        <v>13811594.949999999</v>
      </c>
      <c r="K14" s="128">
        <f>+FUNCIONAMIENTO!L16</f>
        <v>1269555.0500000007</v>
      </c>
      <c r="L14" s="128">
        <f>+FUNCIONAMIENTO!M16</f>
        <v>2835570.0500000007</v>
      </c>
      <c r="M14" s="518">
        <f>+FUNCIONAMIENTO!N16</f>
        <v>91.581841901976972</v>
      </c>
    </row>
    <row r="15" spans="1:13" ht="18" customHeight="1">
      <c r="A15" s="126" t="s">
        <v>210</v>
      </c>
      <c r="B15" s="127" t="s">
        <v>211</v>
      </c>
      <c r="C15" s="128">
        <f>+FUNCIONAMIENTO!C20</f>
        <v>228000</v>
      </c>
      <c r="D15" s="128"/>
      <c r="E15" s="128">
        <f>+FUNCIONAMIENTO!F20</f>
        <v>247000</v>
      </c>
      <c r="F15" s="128">
        <f>+FUNCIONAMIENTO!G20</f>
        <v>228000</v>
      </c>
      <c r="G15" s="128">
        <f>+FUNCIONAMIENTO!H20</f>
        <v>18706.669999999998</v>
      </c>
      <c r="H15" s="128">
        <f>+FUNCIONAMIENTO!I20</f>
        <v>206116.66999999998</v>
      </c>
      <c r="I15" s="128">
        <f>+FUNCIONAMIENTO!J20</f>
        <v>209066.67</v>
      </c>
      <c r="J15" s="128">
        <f>+FUNCIONAMIENTO!K20</f>
        <v>206116.67</v>
      </c>
      <c r="K15" s="128">
        <f>+FUNCIONAMIENTO!L20</f>
        <v>21883.330000000016</v>
      </c>
      <c r="L15" s="128">
        <f>+FUNCIONAMIENTO!M20</f>
        <v>40883.330000000016</v>
      </c>
      <c r="M15" s="518">
        <f>+FUNCIONAMIENTO!N20</f>
        <v>90.40204824561404</v>
      </c>
    </row>
    <row r="16" spans="1:13" ht="16.5" customHeight="1">
      <c r="A16" s="126" t="s">
        <v>212</v>
      </c>
      <c r="B16" s="127" t="s">
        <v>213</v>
      </c>
      <c r="C16" s="128">
        <f>+FUNCIONAMIENTO!C21</f>
        <v>8407425</v>
      </c>
      <c r="D16" s="128"/>
      <c r="E16" s="128">
        <f>+FUNCIONAMIENTO!F21</f>
        <v>7820865</v>
      </c>
      <c r="F16" s="128">
        <f>+FUNCIONAMIENTO!G21</f>
        <v>5018406</v>
      </c>
      <c r="G16" s="128">
        <f>+FUNCIONAMIENTO!H21</f>
        <v>98.92</v>
      </c>
      <c r="H16" s="128">
        <f>+FUNCIONAMIENTO!I21</f>
        <v>4255548.75</v>
      </c>
      <c r="I16" s="128">
        <f>+FUNCIONAMIENTO!J21</f>
        <v>4255600.83</v>
      </c>
      <c r="J16" s="128">
        <f>+FUNCIONAMIENTO!K21</f>
        <v>4255548.75</v>
      </c>
      <c r="K16" s="128">
        <f>+FUNCIONAMIENTO!L21</f>
        <v>762857.25</v>
      </c>
      <c r="L16" s="128">
        <f>+FUNCIONAMIENTO!M21</f>
        <v>3565316.25</v>
      </c>
      <c r="M16" s="518">
        <f>+FUNCIONAMIENTO!N21</f>
        <v>84.798813607348634</v>
      </c>
    </row>
    <row r="17" spans="1:14" ht="15" customHeight="1">
      <c r="A17" s="126" t="s">
        <v>214</v>
      </c>
      <c r="B17" s="127" t="s">
        <v>215</v>
      </c>
      <c r="C17" s="128">
        <f>+FUNCIONAMIENTO!C22</f>
        <v>15829734</v>
      </c>
      <c r="D17" s="128"/>
      <c r="E17" s="128">
        <f>+FUNCIONAMIENTO!F22</f>
        <v>15779734</v>
      </c>
      <c r="F17" s="128">
        <f>+FUNCIONAMIENTO!G22</f>
        <v>14479003</v>
      </c>
      <c r="G17" s="128">
        <f>+FUNCIONAMIENTO!H22</f>
        <v>1310637.3400000001</v>
      </c>
      <c r="H17" s="128">
        <f>+FUNCIONAMIENTO!I22</f>
        <v>12903541.959999999</v>
      </c>
      <c r="I17" s="128">
        <v>0</v>
      </c>
      <c r="J17" s="128">
        <f>+FUNCIONAMIENTO!K22</f>
        <v>9485945.3800000008</v>
      </c>
      <c r="K17" s="128">
        <f>+FUNCIONAMIENTO!L22</f>
        <v>1575461.040000001</v>
      </c>
      <c r="L17" s="128">
        <f>+FUNCIONAMIENTO!M22</f>
        <v>2876192.040000001</v>
      </c>
      <c r="M17" s="518">
        <f>+FUNCIONAMIENTO!N22</f>
        <v>89.118995002625525</v>
      </c>
    </row>
    <row r="18" spans="1:14" ht="18" hidden="1" customHeight="1">
      <c r="A18" s="126" t="s">
        <v>224</v>
      </c>
      <c r="B18" s="127" t="s">
        <v>225</v>
      </c>
      <c r="C18" s="128">
        <f>+FUNCIONAMIENTO!C27</f>
        <v>0</v>
      </c>
      <c r="D18" s="128"/>
      <c r="E18" s="128">
        <v>0</v>
      </c>
      <c r="F18" s="128">
        <f>+FUNCIONAMIENTO!G27</f>
        <v>0</v>
      </c>
      <c r="G18" s="128">
        <f>+FUNCIONAMIENTO!H27</f>
        <v>0</v>
      </c>
      <c r="H18" s="128">
        <f>+FUNCIONAMIENTO!I27</f>
        <v>0</v>
      </c>
      <c r="I18" s="128">
        <f>+FUNCIONAMIENTO!J23</f>
        <v>0</v>
      </c>
      <c r="J18" s="128">
        <f>+FUNCIONAMIENTO!K27</f>
        <v>0</v>
      </c>
      <c r="K18" s="128">
        <f>+FUNCIONAMIENTO!L27</f>
        <v>0</v>
      </c>
      <c r="L18" s="128" t="e">
        <f>+FUNCIONAMIENTO!M27</f>
        <v>#REF!</v>
      </c>
      <c r="M18" s="518">
        <f>+FUNCIONAMIENTO!N27</f>
        <v>0</v>
      </c>
    </row>
    <row r="19" spans="1:14" ht="18.75" customHeight="1">
      <c r="A19" s="126" t="s">
        <v>228</v>
      </c>
      <c r="B19" s="127" t="s">
        <v>229</v>
      </c>
      <c r="C19" s="128">
        <f>+FUNCIONAMIENTO!C29</f>
        <v>0</v>
      </c>
      <c r="D19" s="128"/>
      <c r="E19" s="128">
        <f>+FUNCIONAMIENTO!F29</f>
        <v>413000</v>
      </c>
      <c r="F19" s="128">
        <f>+FUNCIONAMIENTO!G29</f>
        <v>413000</v>
      </c>
      <c r="G19" s="128">
        <f>+FUNCIONAMIENTO!H29</f>
        <v>1687.1100000000001</v>
      </c>
      <c r="H19" s="128">
        <f>+FUNCIONAMIENTO!I29</f>
        <v>279752.08</v>
      </c>
      <c r="I19" s="128">
        <f>+FUNCIONAMIENTO!J29</f>
        <v>242475.06000000003</v>
      </c>
      <c r="J19" s="128">
        <f>+FUNCIONAMIENTO!K29</f>
        <v>269940.66000000003</v>
      </c>
      <c r="K19" s="128">
        <f>+FUNCIONAMIENTO!L29</f>
        <v>133247.91999999998</v>
      </c>
      <c r="L19" s="128">
        <f>+FUNCIONAMIENTO!M29</f>
        <v>133247.91999999998</v>
      </c>
      <c r="M19" s="518">
        <f>+FUNCIONAMIENTO!N24</f>
        <v>86.492697344879417</v>
      </c>
    </row>
    <row r="20" spans="1:14" ht="4.5" customHeight="1">
      <c r="A20" s="126"/>
      <c r="B20" s="127"/>
      <c r="C20" s="128"/>
      <c r="D20" s="128"/>
      <c r="E20" s="128"/>
      <c r="F20" s="128"/>
      <c r="G20" s="128"/>
      <c r="H20" s="128"/>
      <c r="I20" s="129"/>
      <c r="J20" s="128"/>
      <c r="K20" s="128"/>
      <c r="L20" s="128"/>
      <c r="M20" s="518"/>
    </row>
    <row r="21" spans="1:14" ht="19.899999999999999" customHeight="1">
      <c r="A21" s="130" t="s">
        <v>240</v>
      </c>
      <c r="B21" s="131" t="s">
        <v>241</v>
      </c>
      <c r="C21" s="132">
        <f>SUM(C22:C31)</f>
        <v>7293008</v>
      </c>
      <c r="D21" s="574">
        <f>SUM(D22:D30)</f>
        <v>-99335</v>
      </c>
      <c r="E21" s="132">
        <f>E22+E23+E24++E25+E26+E28+E29+E30+E31+E27</f>
        <v>7406523</v>
      </c>
      <c r="F21" s="132">
        <f>SUM(F22:F31)</f>
        <v>7406523</v>
      </c>
      <c r="G21" s="132">
        <f>G22+G23+G24++G25+G26+G28+G29+G30+G31+G27</f>
        <v>442488.59</v>
      </c>
      <c r="H21" s="132">
        <f>SUM(H22:H31)</f>
        <v>5741023.3700000001</v>
      </c>
      <c r="I21" s="132">
        <f>SUM(I22:I31)</f>
        <v>5036395.9600000009</v>
      </c>
      <c r="J21" s="132">
        <f>J22+J23+J24++J25+J26+J28+J29+J30+J31+J27</f>
        <v>4239355.49</v>
      </c>
      <c r="K21" s="132">
        <f t="shared" ref="K21:K31" si="2">+F21-H21</f>
        <v>1665499.63</v>
      </c>
      <c r="L21" s="132">
        <f t="shared" ref="L21:L31" si="3">+E21-H21</f>
        <v>1665499.63</v>
      </c>
      <c r="M21" s="519">
        <f t="shared" ref="M21:M31" si="4">+H21*100/F21</f>
        <v>77.513070168012703</v>
      </c>
      <c r="N21" s="1"/>
    </row>
    <row r="22" spans="1:14" ht="15" customHeight="1">
      <c r="A22" s="126">
        <v>100</v>
      </c>
      <c r="B22" s="127" t="s">
        <v>242</v>
      </c>
      <c r="C22" s="128">
        <f>+FUNCIONAMIENTO!C37</f>
        <v>151437</v>
      </c>
      <c r="D22" s="128"/>
      <c r="E22" s="128">
        <f>+FUNCIONAMIENTO!F37</f>
        <v>88787</v>
      </c>
      <c r="F22" s="128">
        <f>+FUNCIONAMIENTO!G37</f>
        <v>88787</v>
      </c>
      <c r="G22" s="128">
        <f>+FUNCIONAMIENTO!H37</f>
        <v>0</v>
      </c>
      <c r="H22" s="128">
        <f>+FUNCIONAMIENTO!I37</f>
        <v>62931.11</v>
      </c>
      <c r="I22" s="128">
        <f>+FUNCIONAMIENTO!J37</f>
        <v>52846.83</v>
      </c>
      <c r="J22" s="128">
        <f>+FUNCIONAMIENTO!K37</f>
        <v>51012.85</v>
      </c>
      <c r="K22" s="128">
        <f t="shared" si="2"/>
        <v>25855.89</v>
      </c>
      <c r="L22" s="128">
        <f t="shared" si="3"/>
        <v>25855.89</v>
      </c>
      <c r="M22" s="520">
        <f t="shared" si="4"/>
        <v>70.878743509748048</v>
      </c>
    </row>
    <row r="23" spans="1:14" ht="15" customHeight="1">
      <c r="A23" s="133" t="s">
        <v>255</v>
      </c>
      <c r="B23" s="128" t="s">
        <v>256</v>
      </c>
      <c r="C23" s="128">
        <f>+FUNCIONAMIENTO!C44</f>
        <v>2652943</v>
      </c>
      <c r="D23" s="128"/>
      <c r="E23" s="128">
        <f>+FUNCIONAMIENTO!F44</f>
        <v>4435443</v>
      </c>
      <c r="F23" s="128">
        <f>+FUNCIONAMIENTO!G44</f>
        <v>4435443</v>
      </c>
      <c r="G23" s="128">
        <f>+FUNCIONAMIENTO!H44</f>
        <v>386438.44</v>
      </c>
      <c r="H23" s="128">
        <f>+FUNCIONAMIENTO!I44</f>
        <v>3726112.2600000002</v>
      </c>
      <c r="I23" s="128">
        <f>+FUNCIONAMIENTO!J44</f>
        <v>3616050.3300000005</v>
      </c>
      <c r="J23" s="128">
        <f>+FUNCIONAMIENTO!K44</f>
        <v>2967498.5199999996</v>
      </c>
      <c r="K23" s="149">
        <f t="shared" si="2"/>
        <v>709330.73999999976</v>
      </c>
      <c r="L23" s="128">
        <f t="shared" si="3"/>
        <v>709330.73999999976</v>
      </c>
      <c r="M23" s="520">
        <f t="shared" si="4"/>
        <v>84.007668681572511</v>
      </c>
    </row>
    <row r="24" spans="1:14" ht="15" customHeight="1">
      <c r="A24" s="133" t="s">
        <v>463</v>
      </c>
      <c r="B24" s="128" t="s">
        <v>270</v>
      </c>
      <c r="C24" s="128">
        <f>+FUNCIONAMIENTO!C53</f>
        <v>87500</v>
      </c>
      <c r="D24" s="128"/>
      <c r="E24" s="128">
        <f>+FUNCIONAMIENTO!F53</f>
        <v>16800</v>
      </c>
      <c r="F24" s="128">
        <f>+FUNCIONAMIENTO!G53</f>
        <v>16800</v>
      </c>
      <c r="G24" s="128">
        <f>+FUNCIONAMIENTO!H53</f>
        <v>1065.72</v>
      </c>
      <c r="H24" s="128">
        <f>+FUNCIONAMIENTO!I53</f>
        <v>10916.099999999999</v>
      </c>
      <c r="I24" s="128">
        <f>+FUNCIONAMIENTO!J53</f>
        <v>10763.45</v>
      </c>
      <c r="J24" s="128">
        <f>+FUNCIONAMIENTO!K53</f>
        <v>9607.73</v>
      </c>
      <c r="K24" s="128">
        <f t="shared" si="2"/>
        <v>5883.9000000000015</v>
      </c>
      <c r="L24" s="128">
        <f t="shared" si="3"/>
        <v>5883.9000000000015</v>
      </c>
      <c r="M24" s="520">
        <f t="shared" si="4"/>
        <v>64.976785714285697</v>
      </c>
    </row>
    <row r="25" spans="1:14" ht="15" customHeight="1">
      <c r="A25" s="133" t="s">
        <v>271</v>
      </c>
      <c r="B25" s="128" t="s">
        <v>272</v>
      </c>
      <c r="C25" s="128">
        <f>+FUNCIONAMIENTO!C54</f>
        <v>163284</v>
      </c>
      <c r="D25" s="573">
        <v>-19200</v>
      </c>
      <c r="E25" s="128">
        <f>+FUNCIONAMIENTO!F54</f>
        <v>27189</v>
      </c>
      <c r="F25" s="128">
        <f>+FUNCIONAMIENTO!G54</f>
        <v>27189</v>
      </c>
      <c r="G25" s="128">
        <f>+FUNCIONAMIENTO!H54</f>
        <v>0</v>
      </c>
      <c r="H25" s="128">
        <f>+FUNCIONAMIENTO!I54</f>
        <v>12607.779999999999</v>
      </c>
      <c r="I25" s="128">
        <f>+FUNCIONAMIENTO!J54</f>
        <v>12037.24</v>
      </c>
      <c r="J25" s="128">
        <f>+FUNCIONAMIENTO!K54</f>
        <v>11414.92</v>
      </c>
      <c r="K25" s="128">
        <f t="shared" si="2"/>
        <v>14581.220000000001</v>
      </c>
      <c r="L25" s="128">
        <f t="shared" si="3"/>
        <v>14581.220000000001</v>
      </c>
      <c r="M25" s="520">
        <f t="shared" si="4"/>
        <v>46.370885284490051</v>
      </c>
    </row>
    <row r="26" spans="1:14" ht="15" customHeight="1">
      <c r="A26" s="133" t="s">
        <v>277</v>
      </c>
      <c r="B26" s="128" t="s">
        <v>278</v>
      </c>
      <c r="C26" s="128">
        <f>+FUNCIONAMIENTO!C57</f>
        <v>981486</v>
      </c>
      <c r="D26" s="573">
        <v>-7431</v>
      </c>
      <c r="E26" s="128">
        <f>+FUNCIONAMIENTO!F57</f>
        <v>322905</v>
      </c>
      <c r="F26" s="128">
        <f>+FUNCIONAMIENTO!G57</f>
        <v>322905</v>
      </c>
      <c r="G26" s="128">
        <f>+FUNCIONAMIENTO!H57</f>
        <v>21214</v>
      </c>
      <c r="H26" s="128">
        <f>+FUNCIONAMIENTO!I57</f>
        <v>258630.5</v>
      </c>
      <c r="I26" s="128">
        <f>+FUNCIONAMIENTO!J57</f>
        <v>258630.5</v>
      </c>
      <c r="J26" s="128">
        <f>+FUNCIONAMIENTO!K57</f>
        <v>258456.5</v>
      </c>
      <c r="K26" s="128">
        <f t="shared" si="2"/>
        <v>64274.5</v>
      </c>
      <c r="L26" s="128">
        <f t="shared" si="3"/>
        <v>64274.5</v>
      </c>
      <c r="M26" s="520">
        <f t="shared" si="4"/>
        <v>80.094919558384049</v>
      </c>
    </row>
    <row r="27" spans="1:14" ht="15" customHeight="1">
      <c r="A27" s="133" t="s">
        <v>284</v>
      </c>
      <c r="B27" s="128" t="s">
        <v>285</v>
      </c>
      <c r="C27" s="128">
        <f>+FUNCIONAMIENTO!C61</f>
        <v>448811</v>
      </c>
      <c r="D27" s="573">
        <v>-15763</v>
      </c>
      <c r="E27" s="128">
        <f>+FUNCIONAMIENTO!F61</f>
        <v>163048</v>
      </c>
      <c r="F27" s="128">
        <f>+FUNCIONAMIENTO!G61</f>
        <v>163048</v>
      </c>
      <c r="G27" s="128">
        <f>+FUNCIONAMIENTO!H61</f>
        <v>7448.28</v>
      </c>
      <c r="H27" s="128">
        <f>+FUNCIONAMIENTO!I61</f>
        <v>93022.42</v>
      </c>
      <c r="I27" s="128">
        <f>+FUNCIONAMIENTO!J61</f>
        <v>57965.689999999995</v>
      </c>
      <c r="J27" s="128">
        <f>+FUNCIONAMIENTO!K61</f>
        <v>56206.33</v>
      </c>
      <c r="K27" s="128">
        <f t="shared" si="2"/>
        <v>70025.58</v>
      </c>
      <c r="L27" s="128">
        <f t="shared" si="3"/>
        <v>70025.58</v>
      </c>
      <c r="M27" s="520">
        <f t="shared" si="4"/>
        <v>57.05216868652176</v>
      </c>
    </row>
    <row r="28" spans="1:14" ht="15" customHeight="1">
      <c r="A28" s="126">
        <v>160</v>
      </c>
      <c r="B28" s="128" t="s">
        <v>292</v>
      </c>
      <c r="C28" s="128">
        <f>+FUNCIONAMIENTO!C66</f>
        <v>1492093</v>
      </c>
      <c r="D28" s="573">
        <v>-2447</v>
      </c>
      <c r="E28" s="128">
        <f>+FUNCIONAMIENTO!F66</f>
        <v>1506651</v>
      </c>
      <c r="F28" s="128">
        <f>+FUNCIONAMIENTO!G66</f>
        <v>1506651</v>
      </c>
      <c r="G28" s="128">
        <f>+FUNCIONAMIENTO!H66</f>
        <v>25728.5</v>
      </c>
      <c r="H28" s="128">
        <f>+FUNCIONAMIENTO!I66</f>
        <v>967054.23</v>
      </c>
      <c r="I28" s="128">
        <f>+FUNCIONAMIENTO!J66</f>
        <v>606062.6</v>
      </c>
      <c r="J28" s="128">
        <f>+FUNCIONAMIENTO!K66</f>
        <v>510647.91000000003</v>
      </c>
      <c r="K28" s="128">
        <f t="shared" si="2"/>
        <v>539596.77</v>
      </c>
      <c r="L28" s="128">
        <f t="shared" si="3"/>
        <v>539596.77</v>
      </c>
      <c r="M28" s="520">
        <f t="shared" si="4"/>
        <v>64.185682682983654</v>
      </c>
    </row>
    <row r="29" spans="1:14" ht="15" customHeight="1">
      <c r="A29" s="134">
        <v>170</v>
      </c>
      <c r="B29" s="135" t="s">
        <v>301</v>
      </c>
      <c r="C29" s="128">
        <f>+FUNCIONAMIENTO!C72</f>
        <v>305833</v>
      </c>
      <c r="D29" s="573">
        <f>-9930-30623</f>
        <v>-40553</v>
      </c>
      <c r="E29" s="128">
        <f>+FUNCIONAMIENTO!F72</f>
        <v>114855</v>
      </c>
      <c r="F29" s="128">
        <f>+FUNCIONAMIENTO!G72</f>
        <v>114855</v>
      </c>
      <c r="G29" s="128">
        <f>+FUNCIONAMIENTO!H72</f>
        <v>0</v>
      </c>
      <c r="H29" s="128">
        <f>+FUNCIONAMIENTO!I72</f>
        <v>52993.74</v>
      </c>
      <c r="I29" s="128">
        <f>+FUNCIONAMIENTO!J72</f>
        <v>50361.26</v>
      </c>
      <c r="J29" s="128">
        <f>+FUNCIONAMIENTO!K72</f>
        <v>11324.72</v>
      </c>
      <c r="K29" s="128">
        <f t="shared" si="2"/>
        <v>61861.26</v>
      </c>
      <c r="L29" s="128">
        <f t="shared" si="3"/>
        <v>61861.26</v>
      </c>
      <c r="M29" s="520">
        <f t="shared" si="4"/>
        <v>46.13968917330547</v>
      </c>
    </row>
    <row r="30" spans="1:14" ht="15.75" customHeight="1">
      <c r="A30" s="133" t="s">
        <v>305</v>
      </c>
      <c r="B30" s="127" t="s">
        <v>306</v>
      </c>
      <c r="C30" s="128">
        <f>+FUNCIONAMIENTO!C75</f>
        <v>1009621</v>
      </c>
      <c r="D30" s="573">
        <f>-5141-6800-2000</f>
        <v>-13941</v>
      </c>
      <c r="E30" s="128">
        <f>+FUNCIONAMIENTO!F75</f>
        <v>581365</v>
      </c>
      <c r="F30" s="128">
        <f>+FUNCIONAMIENTO!G75</f>
        <v>581365</v>
      </c>
      <c r="G30" s="128">
        <f>+FUNCIONAMIENTO!H75</f>
        <v>529.65</v>
      </c>
      <c r="H30" s="128">
        <f>+FUNCIONAMIENTO!I75</f>
        <v>419268.05000000005</v>
      </c>
      <c r="I30" s="128">
        <f>+FUNCIONAMIENTO!J75</f>
        <v>291478.40000000002</v>
      </c>
      <c r="J30" s="128">
        <f>+FUNCIONAMIENTO!K75</f>
        <v>259859.65999999997</v>
      </c>
      <c r="K30" s="128">
        <f t="shared" si="2"/>
        <v>162096.94999999995</v>
      </c>
      <c r="L30" s="128">
        <f t="shared" si="3"/>
        <v>162096.94999999995</v>
      </c>
      <c r="M30" s="520">
        <f t="shared" si="4"/>
        <v>72.117869152769785</v>
      </c>
    </row>
    <row r="31" spans="1:14" ht="15" customHeight="1">
      <c r="A31" s="136">
        <v>190</v>
      </c>
      <c r="B31" s="127" t="s">
        <v>464</v>
      </c>
      <c r="C31" s="128">
        <f>+FUNCIONAMIENTO!C82</f>
        <v>0</v>
      </c>
      <c r="D31" s="573"/>
      <c r="E31" s="128">
        <f>+FUNCIONAMIENTO!F82</f>
        <v>149480</v>
      </c>
      <c r="F31" s="128">
        <f>+FUNCIONAMIENTO!G82</f>
        <v>149480</v>
      </c>
      <c r="G31" s="128">
        <f>+FUNCIONAMIENTO!H82</f>
        <v>64</v>
      </c>
      <c r="H31" s="128">
        <f>+FUNCIONAMIENTO!I82</f>
        <v>137487.18</v>
      </c>
      <c r="I31" s="128">
        <f>+FUNCIONAMIENTO!J82</f>
        <v>80199.66</v>
      </c>
      <c r="J31" s="128">
        <f>+FUNCIONAMIENTO!K82</f>
        <v>103326.35</v>
      </c>
      <c r="K31" s="128">
        <f t="shared" si="2"/>
        <v>11992.820000000007</v>
      </c>
      <c r="L31" s="128">
        <f t="shared" si="3"/>
        <v>11992.820000000007</v>
      </c>
      <c r="M31" s="520">
        <f t="shared" si="4"/>
        <v>91.97697350816162</v>
      </c>
    </row>
    <row r="32" spans="1:14" ht="6.75" customHeight="1">
      <c r="A32" s="126" t="s">
        <v>12</v>
      </c>
      <c r="B32" s="127"/>
      <c r="C32" s="128"/>
      <c r="D32" s="128"/>
      <c r="E32" s="128"/>
      <c r="F32" s="128"/>
      <c r="G32" s="128"/>
      <c r="H32" s="128"/>
      <c r="I32" s="129"/>
      <c r="J32" s="128"/>
      <c r="K32" s="128"/>
      <c r="L32" s="128"/>
      <c r="M32" s="520"/>
    </row>
    <row r="33" spans="1:20" ht="19.899999999999999" customHeight="1">
      <c r="A33" s="119" t="s">
        <v>322</v>
      </c>
      <c r="B33" s="120" t="s">
        <v>323</v>
      </c>
      <c r="C33" s="121">
        <f>+C34+C35+C36+C37+C38+C39+C40+C41+C42+C43</f>
        <v>3042561</v>
      </c>
      <c r="D33" s="575">
        <f>SUM(D34:D43)</f>
        <v>-537778</v>
      </c>
      <c r="E33" s="121">
        <f>SUM(E34:E43)</f>
        <v>4050605</v>
      </c>
      <c r="F33" s="132">
        <f>SUM(F34:F43)</f>
        <v>4050605</v>
      </c>
      <c r="G33" s="121">
        <f>+G34+G35+G36+G37+G38+G39+G40+G41+G42+G43</f>
        <v>138492.36999999997</v>
      </c>
      <c r="H33" s="121">
        <f>SUM(H34:H43)</f>
        <v>3079890.8099999996</v>
      </c>
      <c r="I33" s="132">
        <f>SUM(I34:I43)</f>
        <v>2401228.1399999997</v>
      </c>
      <c r="J33" s="121">
        <f>+J34+J35+J36+J37+J38+J39+J40+J41+J42+J43</f>
        <v>2173540.71</v>
      </c>
      <c r="K33" s="121">
        <f>+F33-H33</f>
        <v>970714.19000000041</v>
      </c>
      <c r="L33" s="121">
        <f t="shared" ref="L33:L43" si="5">+E33-H33</f>
        <v>970714.19000000041</v>
      </c>
      <c r="M33" s="521">
        <f t="shared" ref="M33:M43" si="6">+H33*100/F33</f>
        <v>76.035328302809077</v>
      </c>
    </row>
    <row r="34" spans="1:20" ht="15" customHeight="1">
      <c r="A34" s="126" t="s">
        <v>324</v>
      </c>
      <c r="B34" s="127" t="s">
        <v>325</v>
      </c>
      <c r="C34" s="128">
        <f>+FUNCIONAMIENTO!C92</f>
        <v>185018</v>
      </c>
      <c r="D34" s="573">
        <v>-15292</v>
      </c>
      <c r="E34" s="128">
        <f>+FUNCIONAMIENTO!F92</f>
        <v>100426</v>
      </c>
      <c r="F34" s="128">
        <f>+FUNCIONAMIENTO!G92</f>
        <v>100426</v>
      </c>
      <c r="G34" s="128">
        <f>+FUNCIONAMIENTO!H92</f>
        <v>3650</v>
      </c>
      <c r="H34" s="128">
        <f>+FUNCIONAMIENTO!I92</f>
        <v>60678.879999999997</v>
      </c>
      <c r="I34" s="128">
        <f>+FUNCIONAMIENTO!J92</f>
        <v>59248.88</v>
      </c>
      <c r="J34" s="128">
        <f>+FUNCIONAMIENTO!K92</f>
        <v>51102.119999999995</v>
      </c>
      <c r="K34" s="128">
        <f>+FUNCIONAMIENTO!L92</f>
        <v>39747.120000000003</v>
      </c>
      <c r="L34" s="128">
        <f t="shared" si="5"/>
        <v>39747.120000000003</v>
      </c>
      <c r="M34" s="520">
        <f t="shared" si="6"/>
        <v>60.421484476131681</v>
      </c>
    </row>
    <row r="35" spans="1:20" ht="15" customHeight="1">
      <c r="A35" s="133" t="s">
        <v>330</v>
      </c>
      <c r="B35" s="128" t="s">
        <v>331</v>
      </c>
      <c r="C35" s="128">
        <f>+FUNCIONAMIENTO!C95</f>
        <v>196410</v>
      </c>
      <c r="D35" s="573">
        <f>-13200-78000</f>
        <v>-91200</v>
      </c>
      <c r="E35" s="128">
        <f>+FUNCIONAMIENTO!F95</f>
        <v>244860</v>
      </c>
      <c r="F35" s="128">
        <f>+FUNCIONAMIENTO!G95</f>
        <v>244860</v>
      </c>
      <c r="G35" s="128">
        <f>+FUNCIONAMIENTO!H95</f>
        <v>1949.54</v>
      </c>
      <c r="H35" s="128">
        <f>+FUNCIONAMIENTO!I95</f>
        <v>216106.66000000003</v>
      </c>
      <c r="I35" s="128">
        <f>+FUNCIONAMIENTO!J95</f>
        <v>213120.76</v>
      </c>
      <c r="J35" s="128">
        <f>+FUNCIONAMIENTO!K95</f>
        <v>163287.04999999999</v>
      </c>
      <c r="K35" s="128">
        <f>+FUNCIONAMIENTO!L95</f>
        <v>28753.339999999967</v>
      </c>
      <c r="L35" s="128">
        <f t="shared" si="5"/>
        <v>28753.339999999967</v>
      </c>
      <c r="M35" s="520">
        <f t="shared" si="6"/>
        <v>88.257232704402526</v>
      </c>
    </row>
    <row r="36" spans="1:20" ht="15" customHeight="1">
      <c r="A36" s="133" t="s">
        <v>342</v>
      </c>
      <c r="B36" s="128" t="s">
        <v>343</v>
      </c>
      <c r="C36" s="128">
        <f>+FUNCIONAMIENTO!C101</f>
        <v>361282</v>
      </c>
      <c r="D36" s="573"/>
      <c r="E36" s="128">
        <f>+FUNCIONAMIENTO!F101</f>
        <v>471432</v>
      </c>
      <c r="F36" s="128">
        <f>+FUNCIONAMIENTO!G101</f>
        <v>471432</v>
      </c>
      <c r="G36" s="128">
        <f>+FUNCIONAMIENTO!H101</f>
        <v>0</v>
      </c>
      <c r="H36" s="128">
        <f>+FUNCIONAMIENTO!I101</f>
        <v>286291.02</v>
      </c>
      <c r="I36" s="128">
        <f>+FUNCIONAMIENTO!J101</f>
        <v>244238.5</v>
      </c>
      <c r="J36" s="128">
        <f>+FUNCIONAMIENTO!K101</f>
        <v>187573.53</v>
      </c>
      <c r="K36" s="128">
        <f>+FUNCIONAMIENTO!L101</f>
        <v>185140.97999999998</v>
      </c>
      <c r="L36" s="128">
        <f t="shared" si="5"/>
        <v>185140.97999999998</v>
      </c>
      <c r="M36" s="520">
        <f t="shared" si="6"/>
        <v>60.72795652395255</v>
      </c>
    </row>
    <row r="37" spans="1:20" ht="15" customHeight="1">
      <c r="A37" s="133" t="s">
        <v>352</v>
      </c>
      <c r="B37" s="128" t="s">
        <v>353</v>
      </c>
      <c r="C37" s="128">
        <f>+FUNCIONAMIENTO!C107</f>
        <v>249812</v>
      </c>
      <c r="D37" s="573">
        <v>-11900</v>
      </c>
      <c r="E37" s="128">
        <f>+FUNCIONAMIENTO!F107</f>
        <v>135930</v>
      </c>
      <c r="F37" s="128">
        <f>+FUNCIONAMIENTO!G107</f>
        <v>135930</v>
      </c>
      <c r="G37" s="128">
        <f>+FUNCIONAMIENTO!H107</f>
        <v>16411.509999999998</v>
      </c>
      <c r="H37" s="128">
        <f>+FUNCIONAMIENTO!I107</f>
        <v>89312.599999999991</v>
      </c>
      <c r="I37" s="128">
        <f>+FUNCIONAMIENTO!J107</f>
        <v>72456.61</v>
      </c>
      <c r="J37" s="128">
        <f>+FUNCIONAMIENTO!K107</f>
        <v>71892.450000000012</v>
      </c>
      <c r="K37" s="128">
        <f>+FUNCIONAMIENTO!L107</f>
        <v>46617.400000000009</v>
      </c>
      <c r="L37" s="128">
        <f t="shared" si="5"/>
        <v>46617.400000000009</v>
      </c>
      <c r="M37" s="520">
        <f t="shared" si="6"/>
        <v>65.704848083572429</v>
      </c>
    </row>
    <row r="38" spans="1:20" ht="15" customHeight="1">
      <c r="A38" s="133" t="s">
        <v>360</v>
      </c>
      <c r="B38" s="128" t="s">
        <v>361</v>
      </c>
      <c r="C38" s="128">
        <f>+FUNCIONAMIENTO!C111</f>
        <v>258848</v>
      </c>
      <c r="D38" s="573">
        <v>-5700</v>
      </c>
      <c r="E38" s="128">
        <f>+FUNCIONAMIENTO!F111</f>
        <v>219254</v>
      </c>
      <c r="F38" s="128">
        <f>+FUNCIONAMIENTO!G111</f>
        <v>219254</v>
      </c>
      <c r="G38" s="128">
        <f>+FUNCIONAMIENTO!H111</f>
        <v>6039.68</v>
      </c>
      <c r="H38" s="128">
        <f>+FUNCIONAMIENTO!I111</f>
        <v>161614.30000000002</v>
      </c>
      <c r="I38" s="128">
        <f>+FUNCIONAMIENTO!J111</f>
        <v>150029.37</v>
      </c>
      <c r="J38" s="128">
        <f>+FUNCIONAMIENTO!K111</f>
        <v>140290.70000000001</v>
      </c>
      <c r="K38" s="128">
        <f>+FUNCIONAMIENTO!L111</f>
        <v>57639.699999999983</v>
      </c>
      <c r="L38" s="128">
        <f t="shared" si="5"/>
        <v>57639.699999999983</v>
      </c>
      <c r="M38" s="520">
        <f t="shared" si="6"/>
        <v>73.710992729893192</v>
      </c>
      <c r="T38">
        <f>8+11+16+180</f>
        <v>215</v>
      </c>
    </row>
    <row r="39" spans="1:20" ht="15" customHeight="1">
      <c r="A39" s="133" t="s">
        <v>372</v>
      </c>
      <c r="B39" s="128" t="s">
        <v>373</v>
      </c>
      <c r="C39" s="128">
        <f>+FUNCIONAMIENTO!C117</f>
        <v>277892</v>
      </c>
      <c r="D39" s="573">
        <f>-11000-16000-180000-8000</f>
        <v>-215000</v>
      </c>
      <c r="E39" s="128">
        <f>+FUNCIONAMIENTO!F117</f>
        <v>756132</v>
      </c>
      <c r="F39" s="128">
        <f>+FUNCIONAMIENTO!G117</f>
        <v>756132</v>
      </c>
      <c r="G39" s="128">
        <f>+FUNCIONAMIENTO!H117</f>
        <v>35358.839999999997</v>
      </c>
      <c r="H39" s="128">
        <f>+FUNCIONAMIENTO!I117</f>
        <v>589416.75999999989</v>
      </c>
      <c r="I39" s="128">
        <f>+FUNCIONAMIENTO!J117</f>
        <v>513431.65</v>
      </c>
      <c r="J39" s="128">
        <f>+FUNCIONAMIENTO!K117</f>
        <v>444853.21</v>
      </c>
      <c r="K39" s="128">
        <f>+FUNCIONAMIENTO!L117</f>
        <v>166715.24000000011</v>
      </c>
      <c r="L39" s="128">
        <f t="shared" si="5"/>
        <v>166715.24000000011</v>
      </c>
      <c r="M39" s="520">
        <f t="shared" si="6"/>
        <v>77.951569302714333</v>
      </c>
    </row>
    <row r="40" spans="1:20" ht="15" customHeight="1">
      <c r="A40" s="133" t="s">
        <v>386</v>
      </c>
      <c r="B40" s="128" t="s">
        <v>387</v>
      </c>
      <c r="C40" s="128">
        <f>+FUNCIONAMIENTO!C125</f>
        <v>475695</v>
      </c>
      <c r="D40" s="573">
        <f>-40000-9000-124686</f>
        <v>-173686</v>
      </c>
      <c r="E40" s="128">
        <f>+FUNCIONAMIENTO!F125</f>
        <v>600692</v>
      </c>
      <c r="F40" s="128">
        <f>+FUNCIONAMIENTO!G125</f>
        <v>600692</v>
      </c>
      <c r="G40" s="128">
        <f>+FUNCIONAMIENTO!H125</f>
        <v>11804.09</v>
      </c>
      <c r="H40" s="128">
        <f>+FUNCIONAMIENTO!I125</f>
        <v>469972.53</v>
      </c>
      <c r="I40" s="128">
        <f>+FUNCIONAMIENTO!J125</f>
        <v>396934.68</v>
      </c>
      <c r="J40" s="128">
        <f>+FUNCIONAMIENTO!K125</f>
        <v>318600.36</v>
      </c>
      <c r="K40" s="128">
        <f>+FUNCIONAMIENTO!L125</f>
        <v>130719.46999999997</v>
      </c>
      <c r="L40" s="128">
        <f t="shared" si="5"/>
        <v>130719.46999999997</v>
      </c>
      <c r="M40" s="520">
        <f t="shared" si="6"/>
        <v>78.238519907040541</v>
      </c>
    </row>
    <row r="41" spans="1:20" ht="15" customHeight="1">
      <c r="A41" s="133" t="s">
        <v>397</v>
      </c>
      <c r="B41" s="128" t="s">
        <v>398</v>
      </c>
      <c r="C41" s="128">
        <f>+FUNCIONAMIENTO!C131</f>
        <v>829295</v>
      </c>
      <c r="D41" s="128"/>
      <c r="E41" s="128">
        <f>+FUNCIONAMIENTO!F131</f>
        <v>726815</v>
      </c>
      <c r="F41" s="128">
        <f>+FUNCIONAMIENTO!G131</f>
        <v>726815</v>
      </c>
      <c r="G41" s="128">
        <f>+FUNCIONAMIENTO!H131</f>
        <v>23408.23</v>
      </c>
      <c r="H41" s="128">
        <f>+FUNCIONAMIENTO!I131</f>
        <v>594435.41999999993</v>
      </c>
      <c r="I41" s="128">
        <f>+FUNCIONAMIENTO!J131</f>
        <v>474229.85</v>
      </c>
      <c r="J41" s="128">
        <f>+FUNCIONAMIENTO!K131</f>
        <v>343567.92</v>
      </c>
      <c r="K41" s="128">
        <f>+FUNCIONAMIENTO!L131</f>
        <v>132379.58000000007</v>
      </c>
      <c r="L41" s="128">
        <f t="shared" si="5"/>
        <v>132379.58000000007</v>
      </c>
      <c r="M41" s="520">
        <f t="shared" si="6"/>
        <v>81.786344530588934</v>
      </c>
    </row>
    <row r="42" spans="1:20" ht="15.75" customHeight="1">
      <c r="A42" s="133" t="s">
        <v>413</v>
      </c>
      <c r="B42" s="128" t="s">
        <v>414</v>
      </c>
      <c r="C42" s="128">
        <f>+FUNCIONAMIENTO!C140</f>
        <v>208309</v>
      </c>
      <c r="D42" s="128"/>
      <c r="E42" s="128">
        <f>+FUNCIONAMIENTO!F140</f>
        <v>383709</v>
      </c>
      <c r="F42" s="128">
        <f>+FUNCIONAMIENTO!G140</f>
        <v>383709</v>
      </c>
      <c r="G42" s="128">
        <f>+FUNCIONAMIENTO!H140</f>
        <v>35531.370000000003</v>
      </c>
      <c r="H42" s="128">
        <f>+FUNCIONAMIENTO!I140</f>
        <v>297632.52999999997</v>
      </c>
      <c r="I42" s="128">
        <f>+FUNCIONAMIENTO!J140</f>
        <v>218312.75</v>
      </c>
      <c r="J42" s="128">
        <f>+FUNCIONAMIENTO!K140</f>
        <v>206877.91</v>
      </c>
      <c r="K42" s="128">
        <f>+FUNCIONAMIENTO!L140</f>
        <v>86076.47000000003</v>
      </c>
      <c r="L42" s="128">
        <f t="shared" si="5"/>
        <v>86076.47000000003</v>
      </c>
      <c r="M42" s="520">
        <f t="shared" si="6"/>
        <v>77.567252787919998</v>
      </c>
    </row>
    <row r="43" spans="1:20" ht="16.5" customHeight="1">
      <c r="A43" s="126">
        <v>290</v>
      </c>
      <c r="B43" s="128" t="s">
        <v>415</v>
      </c>
      <c r="C43" s="128">
        <f>+FUNCIONAMIENTO!C141</f>
        <v>0</v>
      </c>
      <c r="D43" s="573">
        <v>-25000</v>
      </c>
      <c r="E43" s="128">
        <f>+FUNCIONAMIENTO!F141</f>
        <v>411355</v>
      </c>
      <c r="F43" s="128">
        <f>+FUNCIONAMIENTO!G141</f>
        <v>411355</v>
      </c>
      <c r="G43" s="128">
        <f>+FUNCIONAMIENTO!H141</f>
        <v>4339.1099999999997</v>
      </c>
      <c r="H43" s="128">
        <f>+FUNCIONAMIENTO!I141</f>
        <v>314430.11</v>
      </c>
      <c r="I43" s="128">
        <f>+FUNCIONAMIENTO!J141</f>
        <v>59225.090000000004</v>
      </c>
      <c r="J43" s="128">
        <f>+FUNCIONAMIENTO!K141</f>
        <v>245495.46000000002</v>
      </c>
      <c r="K43" s="128">
        <f>+F43-H43</f>
        <v>96924.890000000014</v>
      </c>
      <c r="L43" s="128">
        <f t="shared" si="5"/>
        <v>96924.890000000014</v>
      </c>
      <c r="M43" s="520">
        <f t="shared" si="6"/>
        <v>76.437653608197294</v>
      </c>
    </row>
    <row r="44" spans="1:20" ht="6" customHeight="1">
      <c r="A44" s="126"/>
      <c r="B44" s="128"/>
      <c r="C44" s="128"/>
      <c r="D44" s="128"/>
      <c r="E44" s="128"/>
      <c r="F44" s="128"/>
      <c r="G44" s="128"/>
      <c r="H44" s="128"/>
      <c r="J44" s="128"/>
      <c r="K44" s="128"/>
      <c r="L44" s="128"/>
      <c r="M44" s="520"/>
    </row>
    <row r="45" spans="1:20" ht="19.899999999999999" customHeight="1">
      <c r="A45" s="119">
        <v>4</v>
      </c>
      <c r="B45" s="121" t="s">
        <v>425</v>
      </c>
      <c r="C45" s="121">
        <f>SUM(C46)</f>
        <v>3207914</v>
      </c>
      <c r="D45" s="121"/>
      <c r="E45" s="121">
        <f>SUM(E46:E47)</f>
        <v>2295040</v>
      </c>
      <c r="F45" s="121">
        <f>+F46+F47</f>
        <v>2295040</v>
      </c>
      <c r="G45" s="121">
        <f>+G46+G47</f>
        <v>93913.2</v>
      </c>
      <c r="H45" s="121">
        <f>+H46+H47</f>
        <v>1526869.4299999997</v>
      </c>
      <c r="I45" s="132">
        <f>+I46+I47</f>
        <v>1211342.54</v>
      </c>
      <c r="J45" s="121">
        <f>SUM(J46:J47)</f>
        <v>1066583.6299999999</v>
      </c>
      <c r="K45" s="121">
        <f>+F45-H45</f>
        <v>768170.5700000003</v>
      </c>
      <c r="L45" s="121">
        <f>+E45-H45</f>
        <v>768170.5700000003</v>
      </c>
      <c r="M45" s="521">
        <f>+H45*100/F45</f>
        <v>66.5290988392359</v>
      </c>
    </row>
    <row r="46" spans="1:20" ht="14.25" customHeight="1">
      <c r="A46" s="126">
        <v>430</v>
      </c>
      <c r="B46" s="137" t="s">
        <v>426</v>
      </c>
      <c r="C46" s="128">
        <f>+FUNCIONAMIENTO!C153</f>
        <v>3207914</v>
      </c>
      <c r="D46" s="128"/>
      <c r="E46" s="128">
        <f>+FUNCIONAMIENTO!F153</f>
        <v>2200790</v>
      </c>
      <c r="F46" s="128">
        <f>+FUNCIONAMIENTO!G152</f>
        <v>2200790</v>
      </c>
      <c r="G46" s="128">
        <f>+FUNCIONAMIENTO!H152</f>
        <v>93913.2</v>
      </c>
      <c r="H46" s="128">
        <f>+FUNCIONAMIENTO!I153</f>
        <v>1456173.5099999998</v>
      </c>
      <c r="I46" s="128">
        <f>+FUNCIONAMIENTO!J153</f>
        <v>1185535.68</v>
      </c>
      <c r="J46" s="128">
        <f>+FUNCIONAMIENTO!K152</f>
        <v>1018193.62</v>
      </c>
      <c r="K46" s="128">
        <f>+F46-H46</f>
        <v>744616.49000000022</v>
      </c>
      <c r="L46" s="128">
        <f>+E46-H46</f>
        <v>744616.49000000022</v>
      </c>
      <c r="M46" s="520">
        <f>+H46*100/F46</f>
        <v>66.165945410511668</v>
      </c>
    </row>
    <row r="47" spans="1:20" ht="15.75" customHeight="1">
      <c r="A47" s="126">
        <v>490</v>
      </c>
      <c r="B47" s="128" t="s">
        <v>428</v>
      </c>
      <c r="C47" s="128">
        <v>0</v>
      </c>
      <c r="D47" s="128"/>
      <c r="E47" s="128">
        <f>+FUNCIONAMIENTO!F154</f>
        <v>94250</v>
      </c>
      <c r="F47" s="128">
        <f>+FUNCIONAMIENTO!G154</f>
        <v>94250</v>
      </c>
      <c r="G47" s="128">
        <f>+FUNCIONAMIENTO!H154</f>
        <v>0</v>
      </c>
      <c r="H47" s="128">
        <f>+FUNCIONAMIENTO!I154</f>
        <v>70695.92</v>
      </c>
      <c r="I47" s="128">
        <f>+FUNCIONAMIENTO!J154</f>
        <v>25806.86</v>
      </c>
      <c r="J47" s="128">
        <f>+FUNCIONAMIENTO!K154</f>
        <v>48390.01</v>
      </c>
      <c r="K47" s="128">
        <f>+F47-H47</f>
        <v>23554.080000000002</v>
      </c>
      <c r="L47" s="128">
        <f>+E47-H47</f>
        <v>23554.080000000002</v>
      </c>
      <c r="M47" s="520">
        <f>+H47*100/F47</f>
        <v>75.008933687002653</v>
      </c>
    </row>
    <row r="48" spans="1:20" ht="5.25" customHeight="1">
      <c r="A48" s="138"/>
      <c r="B48" s="139"/>
      <c r="C48" s="140"/>
      <c r="D48" s="140"/>
      <c r="E48" s="139"/>
      <c r="F48" s="139"/>
      <c r="G48" s="139"/>
      <c r="H48" s="139"/>
      <c r="I48" s="129"/>
      <c r="J48" s="139"/>
      <c r="K48" s="139"/>
      <c r="L48" s="139"/>
      <c r="M48" s="522"/>
    </row>
    <row r="49" spans="1:17" ht="19.899999999999999" customHeight="1">
      <c r="A49" s="119" t="s">
        <v>430</v>
      </c>
      <c r="B49" s="120" t="s">
        <v>431</v>
      </c>
      <c r="C49" s="121">
        <f t="shared" ref="C49:H49" si="7">SUM(C50:C55)</f>
        <v>2251594</v>
      </c>
      <c r="D49" s="121"/>
      <c r="E49" s="121">
        <f t="shared" si="7"/>
        <v>4323441</v>
      </c>
      <c r="F49" s="121">
        <f t="shared" si="7"/>
        <v>4313594</v>
      </c>
      <c r="G49" s="121">
        <f t="shared" si="7"/>
        <v>116909.12999999999</v>
      </c>
      <c r="H49" s="121">
        <f t="shared" si="7"/>
        <v>2330654.69</v>
      </c>
      <c r="I49" s="141">
        <f>+I50+I52+I54+I51</f>
        <v>2231590.81</v>
      </c>
      <c r="J49" s="121">
        <f>SUM(J50:J55)</f>
        <v>2222815.48</v>
      </c>
      <c r="K49" s="121">
        <f t="shared" ref="K49:K55" si="8">+F49-H49</f>
        <v>1982939.31</v>
      </c>
      <c r="L49" s="121">
        <f t="shared" ref="L49:L56" si="9">+E49-H49</f>
        <v>1992786.31</v>
      </c>
      <c r="M49" s="521">
        <f t="shared" ref="M49:M56" si="10">+H49*100/F49</f>
        <v>54.030460214846364</v>
      </c>
    </row>
    <row r="50" spans="1:17" ht="15" customHeight="1">
      <c r="A50" s="126" t="s">
        <v>432</v>
      </c>
      <c r="B50" s="127" t="s">
        <v>465</v>
      </c>
      <c r="C50" s="128">
        <f>+FUNCIONAMIENTO!C157</f>
        <v>118164</v>
      </c>
      <c r="D50" s="128"/>
      <c r="E50" s="128">
        <f>+FUNCIONAMIENTO!F157</f>
        <v>118164</v>
      </c>
      <c r="F50" s="128">
        <f>+FUNCIONAMIENTO!G157</f>
        <v>108317</v>
      </c>
      <c r="G50" s="128">
        <f>+FUNCIONAMIENTO!H157</f>
        <v>3373.87</v>
      </c>
      <c r="H50" s="128">
        <f>+FUNCIONAMIENTO!I157</f>
        <v>37112.57</v>
      </c>
      <c r="I50" s="128">
        <f>+FUNCIONAMIENTO!J157</f>
        <v>37112.57</v>
      </c>
      <c r="J50" s="128">
        <f>+FUNCIONAMIENTO!K157</f>
        <v>37112.57</v>
      </c>
      <c r="K50" s="128">
        <f t="shared" si="8"/>
        <v>71204.429999999993</v>
      </c>
      <c r="L50" s="128">
        <f t="shared" si="9"/>
        <v>81051.429999999993</v>
      </c>
      <c r="M50" s="520">
        <f t="shared" si="10"/>
        <v>34.262922717578959</v>
      </c>
    </row>
    <row r="51" spans="1:17" ht="15" customHeight="1">
      <c r="A51" s="133" t="s">
        <v>436</v>
      </c>
      <c r="B51" s="128" t="s">
        <v>283</v>
      </c>
      <c r="C51" s="128">
        <f>+FUNCIONAMIENTO!C159</f>
        <v>956224</v>
      </c>
      <c r="D51" s="128"/>
      <c r="E51" s="128">
        <f>+FUNCIONAMIENTO!F159</f>
        <v>3767724</v>
      </c>
      <c r="F51" s="128">
        <f>+FUNCIONAMIENTO!G159</f>
        <v>3767724</v>
      </c>
      <c r="G51" s="128">
        <f>+FUNCIONAMIENTO!H159</f>
        <v>111935.26</v>
      </c>
      <c r="H51" s="128">
        <f>+FUNCIONAMIENTO!I159</f>
        <v>2114019.33</v>
      </c>
      <c r="I51" s="128">
        <f>+FUNCIONAMIENTO!J159</f>
        <v>2114019.33</v>
      </c>
      <c r="J51" s="128">
        <f>+FUNCIONAMIENTO!K159</f>
        <v>2114019.33</v>
      </c>
      <c r="K51" s="128">
        <f t="shared" si="8"/>
        <v>1653704.67</v>
      </c>
      <c r="L51" s="128">
        <f t="shared" si="9"/>
        <v>1653704.67</v>
      </c>
      <c r="M51" s="520">
        <f t="shared" si="10"/>
        <v>56.10865684429114</v>
      </c>
    </row>
    <row r="52" spans="1:17" ht="15" customHeight="1">
      <c r="A52" s="126">
        <v>620</v>
      </c>
      <c r="B52" s="128" t="s">
        <v>441</v>
      </c>
      <c r="C52" s="128">
        <f>+FUNCIONAMIENTO!C164</f>
        <v>730940</v>
      </c>
      <c r="D52" s="128"/>
      <c r="E52" s="128">
        <f>+FUNCIONAMIENTO!F164</f>
        <v>143207</v>
      </c>
      <c r="F52" s="128">
        <f>+FUNCIONAMIENTO!G164</f>
        <v>143207</v>
      </c>
      <c r="G52" s="128">
        <f>+FUNCIONAMIENTO!H164</f>
        <v>1600</v>
      </c>
      <c r="H52" s="128">
        <f>+FUNCIONAMIENTO!I164</f>
        <v>130203.58</v>
      </c>
      <c r="I52" s="128">
        <f>+FUNCIONAMIENTO!J164</f>
        <v>79558.91</v>
      </c>
      <c r="J52" s="128">
        <f>+FUNCIONAMIENTO!K164</f>
        <v>70783.58</v>
      </c>
      <c r="K52" s="128">
        <f t="shared" si="8"/>
        <v>13003.419999999998</v>
      </c>
      <c r="L52" s="128">
        <f t="shared" si="9"/>
        <v>13003.419999999998</v>
      </c>
      <c r="M52" s="520">
        <f t="shared" si="10"/>
        <v>90.919843303749118</v>
      </c>
    </row>
    <row r="53" spans="1:17" ht="15" customHeight="1">
      <c r="A53" s="126">
        <v>640</v>
      </c>
      <c r="B53" s="128" t="s">
        <v>466</v>
      </c>
      <c r="C53" s="128">
        <f>+FUNCIONAMIENTO!C169</f>
        <v>159266</v>
      </c>
      <c r="D53" s="128"/>
      <c r="E53" s="128">
        <f>+FUNCIONAMIENTO!F169</f>
        <v>159266</v>
      </c>
      <c r="F53" s="128">
        <f>+FUNCIONAMIENTO!G169</f>
        <v>159266</v>
      </c>
      <c r="G53" s="128">
        <f>+FUNCIONAMIENTO!H169</f>
        <v>0</v>
      </c>
      <c r="H53" s="128">
        <f>+FUNCIONAMIENTO!I169</f>
        <v>0</v>
      </c>
      <c r="I53" s="128"/>
      <c r="J53" s="128">
        <f>+FUNCIONAMIENTO!K169</f>
        <v>0</v>
      </c>
      <c r="K53" s="128"/>
      <c r="L53" s="128"/>
      <c r="M53" s="520"/>
    </row>
    <row r="54" spans="1:17" ht="15" customHeight="1">
      <c r="A54" s="126" t="s">
        <v>448</v>
      </c>
      <c r="B54" s="127" t="s">
        <v>449</v>
      </c>
      <c r="C54" s="128">
        <f>+FUNCIONAMIENTO!C170</f>
        <v>287000</v>
      </c>
      <c r="D54" s="128"/>
      <c r="E54" s="128">
        <f>+FUNCIONAMIENTO!F170</f>
        <v>93500</v>
      </c>
      <c r="F54" s="128">
        <f>+FUNCIONAMIENTO!G170</f>
        <v>93500</v>
      </c>
      <c r="G54" s="128">
        <f>+FUNCIONAMIENTO!H170</f>
        <v>0</v>
      </c>
      <c r="H54" s="128">
        <f>+FUNCIONAMIENTO!I170</f>
        <v>25424.21</v>
      </c>
      <c r="I54" s="128">
        <f>+FUNCIONAMIENTO!J170</f>
        <v>900</v>
      </c>
      <c r="J54" s="128">
        <f>+FUNCIONAMIENTO!K170</f>
        <v>900</v>
      </c>
      <c r="K54" s="128">
        <f t="shared" si="8"/>
        <v>68075.790000000008</v>
      </c>
      <c r="L54" s="128">
        <f t="shared" si="9"/>
        <v>68075.790000000008</v>
      </c>
      <c r="M54" s="520">
        <f t="shared" si="10"/>
        <v>27.191668449197859</v>
      </c>
      <c r="P54" s="537" t="s">
        <v>12</v>
      </c>
    </row>
    <row r="55" spans="1:17" ht="14.25" customHeight="1">
      <c r="A55" s="126">
        <v>690</v>
      </c>
      <c r="B55" s="128" t="s">
        <v>467</v>
      </c>
      <c r="C55" s="128">
        <f>+FUNCIONAMIENTO!C174</f>
        <v>0</v>
      </c>
      <c r="D55" s="128"/>
      <c r="E55" s="128">
        <f>+FUNCIONAMIENTO!F174</f>
        <v>41580</v>
      </c>
      <c r="F55" s="128">
        <f>+FUNCIONAMIENTO!G174</f>
        <v>41580</v>
      </c>
      <c r="G55" s="128">
        <f>+FUNCIONAMIENTO!H174</f>
        <v>0</v>
      </c>
      <c r="H55" s="128">
        <f>+FUNCIONAMIENTO!I174</f>
        <v>23895</v>
      </c>
      <c r="I55" s="128">
        <f>+FUNCIONAMIENTO!J174</f>
        <v>0</v>
      </c>
      <c r="J55" s="128">
        <f>+FUNCIONAMIENTO!K174</f>
        <v>0</v>
      </c>
      <c r="K55" s="128">
        <f t="shared" si="8"/>
        <v>17685</v>
      </c>
      <c r="L55" s="128">
        <f t="shared" si="9"/>
        <v>17685</v>
      </c>
      <c r="M55" s="520" t="s">
        <v>12</v>
      </c>
    </row>
    <row r="56" spans="1:17" ht="24" customHeight="1">
      <c r="A56" s="142" t="s">
        <v>12</v>
      </c>
      <c r="B56" s="143" t="s">
        <v>459</v>
      </c>
      <c r="C56" s="144">
        <f t="shared" ref="C56:J56" si="11">+C49+C45+C33+C21+C9</f>
        <v>141094806</v>
      </c>
      <c r="D56" s="144">
        <f>+D21+D33</f>
        <v>-637113</v>
      </c>
      <c r="E56" s="144">
        <f t="shared" si="11"/>
        <v>140457693</v>
      </c>
      <c r="F56" s="144">
        <f t="shared" si="11"/>
        <v>127888568</v>
      </c>
      <c r="G56" s="144">
        <f t="shared" si="11"/>
        <v>10431178.010000002</v>
      </c>
      <c r="H56" s="144">
        <f t="shared" si="11"/>
        <v>110834293.73999999</v>
      </c>
      <c r="I56" s="144">
        <f t="shared" si="11"/>
        <v>96135535.760000005</v>
      </c>
      <c r="J56" s="144">
        <f t="shared" si="11"/>
        <v>104430742.75</v>
      </c>
      <c r="K56" s="144">
        <f>+F56-H56</f>
        <v>17054274.260000005</v>
      </c>
      <c r="L56" s="144">
        <f t="shared" si="9"/>
        <v>29623399.260000005</v>
      </c>
      <c r="M56" s="523">
        <f t="shared" si="10"/>
        <v>86.664739056269667</v>
      </c>
    </row>
    <row r="57" spans="1:17" ht="4.5" customHeight="1">
      <c r="A57" s="145"/>
      <c r="B57" s="146"/>
      <c r="C57" s="147"/>
      <c r="D57" s="147"/>
      <c r="E57" s="147"/>
      <c r="F57" s="147"/>
      <c r="G57" s="147"/>
      <c r="H57" s="147"/>
      <c r="I57" s="147"/>
      <c r="J57" s="147"/>
      <c r="K57" s="147"/>
      <c r="L57" s="147"/>
      <c r="M57" s="524"/>
    </row>
    <row r="58" spans="1:17" ht="18.75" customHeight="1">
      <c r="A58" s="751" t="s">
        <v>468</v>
      </c>
      <c r="B58" s="751"/>
      <c r="C58" s="751"/>
      <c r="D58" s="148"/>
      <c r="E58" s="11"/>
      <c r="F58" s="11"/>
      <c r="G58" s="11"/>
      <c r="H58" s="11" t="s">
        <v>12</v>
      </c>
      <c r="I58" s="11" t="s">
        <v>12</v>
      </c>
      <c r="J58" s="11"/>
      <c r="K58" s="11"/>
      <c r="L58" s="11"/>
      <c r="M58" s="525"/>
      <c r="O58" s="150" t="s">
        <v>12</v>
      </c>
      <c r="Q58" t="s">
        <v>12</v>
      </c>
    </row>
    <row r="59" spans="1:17" ht="19.899999999999999" customHeight="1">
      <c r="E59" s="4"/>
      <c r="F59" s="65"/>
      <c r="G59" s="4"/>
      <c r="H59" s="65"/>
      <c r="I59" s="65" t="s">
        <v>12</v>
      </c>
      <c r="J59" s="4"/>
      <c r="K59" s="4"/>
      <c r="L59" s="4"/>
      <c r="M59" s="526"/>
    </row>
    <row r="60" spans="1:17" ht="19.899999999999999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252"/>
    </row>
    <row r="61" spans="1:17" ht="19.899999999999999" customHeight="1">
      <c r="A61" s="4"/>
      <c r="B61" s="4"/>
      <c r="C61" s="4"/>
      <c r="D61" s="4"/>
      <c r="E61" s="65"/>
      <c r="F61" s="4"/>
      <c r="G61" s="4"/>
      <c r="H61" s="4"/>
      <c r="I61" s="4"/>
      <c r="J61" s="4"/>
      <c r="K61" s="4"/>
      <c r="L61" s="4"/>
      <c r="M61" s="252"/>
    </row>
    <row r="62" spans="1:17" ht="19.899999999999999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252"/>
    </row>
    <row r="63" spans="1:17" ht="19.899999999999999" customHeight="1">
      <c r="A63" s="4"/>
      <c r="B63" s="4"/>
      <c r="C63" s="4"/>
      <c r="D63" s="4"/>
      <c r="E63" s="65" t="s">
        <v>12</v>
      </c>
      <c r="F63" s="4"/>
      <c r="G63" s="4"/>
      <c r="H63" s="4"/>
      <c r="I63" s="4"/>
      <c r="J63" s="4"/>
      <c r="K63" s="4"/>
      <c r="L63" s="4"/>
      <c r="M63" s="252"/>
    </row>
    <row r="64" spans="1:17" ht="19.899999999999999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252"/>
    </row>
    <row r="65" spans="1:13" ht="19.899999999999999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252"/>
    </row>
    <row r="66" spans="1:13" ht="19.899999999999999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252"/>
    </row>
    <row r="67" spans="1:13" ht="19.899999999999999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252"/>
    </row>
    <row r="68" spans="1:13" ht="19.899999999999999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252"/>
    </row>
    <row r="69" spans="1:13" ht="19.899999999999999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252"/>
    </row>
    <row r="70" spans="1:13" ht="19.899999999999999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252"/>
    </row>
    <row r="71" spans="1:13" ht="19.899999999999999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252"/>
    </row>
    <row r="72" spans="1:13" ht="19.899999999999999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252"/>
    </row>
    <row r="73" spans="1:13" ht="19.899999999999999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252"/>
    </row>
    <row r="74" spans="1:13" ht="19.899999999999999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252"/>
    </row>
    <row r="75" spans="1:13" ht="19.899999999999999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252"/>
    </row>
    <row r="76" spans="1:13" ht="19.899999999999999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252"/>
    </row>
    <row r="77" spans="1:13" ht="19.899999999999999" customHeight="1"/>
    <row r="78" spans="1:13" ht="19.899999999999999" customHeight="1"/>
    <row r="79" spans="1:13" ht="19.899999999999999" customHeight="1"/>
    <row r="80" spans="1:13" ht="19.899999999999999" customHeight="1"/>
    <row r="81" ht="19.899999999999999" customHeight="1"/>
    <row r="82" ht="19.899999999999999" customHeight="1"/>
    <row r="83" ht="19.899999999999999" customHeight="1"/>
    <row r="84" ht="19.899999999999999" customHeight="1"/>
    <row r="85" ht="19.899999999999999" customHeight="1"/>
    <row r="86" ht="19.899999999999999" customHeight="1"/>
    <row r="87" ht="19.899999999999999" customHeight="1"/>
    <row r="88" ht="19.899999999999999" customHeight="1"/>
    <row r="89" ht="19.899999999999999" customHeight="1"/>
    <row r="90" ht="19.899999999999999" customHeight="1"/>
    <row r="91" ht="19.899999999999999" customHeight="1"/>
    <row r="92" ht="19.899999999999999" customHeight="1"/>
    <row r="93" ht="19.899999999999999" customHeight="1"/>
    <row r="94" ht="19.899999999999999" customHeight="1"/>
    <row r="95" ht="19.899999999999999" customHeight="1"/>
    <row r="96" ht="19.899999999999999" customHeight="1"/>
    <row r="97" ht="19.899999999999999" customHeight="1"/>
    <row r="98" ht="19.899999999999999" customHeight="1"/>
    <row r="99" ht="19.899999999999999" customHeight="1"/>
    <row r="100" ht="19.899999999999999" customHeight="1"/>
    <row r="101" ht="19.899999999999999" customHeight="1"/>
    <row r="102" ht="19.899999999999999" customHeight="1"/>
    <row r="103" ht="19.899999999999999" customHeight="1"/>
    <row r="104" ht="19.899999999999999" customHeight="1"/>
    <row r="105" ht="19.899999999999999" customHeight="1"/>
    <row r="106" ht="19.899999999999999" customHeight="1"/>
    <row r="107" ht="19.899999999999999" customHeight="1"/>
    <row r="108" ht="19.899999999999999" customHeight="1"/>
    <row r="109" ht="19.899999999999999" customHeight="1"/>
    <row r="110" ht="19.899999999999999" customHeight="1"/>
    <row r="111" ht="19.899999999999999" customHeight="1"/>
    <row r="112" ht="19.899999999999999" customHeight="1"/>
    <row r="113" ht="19.899999999999999" customHeight="1"/>
    <row r="114" ht="19.899999999999999" customHeight="1"/>
    <row r="115" ht="19.899999999999999" customHeight="1"/>
    <row r="116" ht="19.899999999999999" customHeight="1"/>
    <row r="117" ht="19.899999999999999" customHeight="1"/>
    <row r="118" ht="19.899999999999999" customHeight="1"/>
    <row r="119" ht="19.899999999999999" customHeight="1"/>
    <row r="120" ht="19.899999999999999" customHeight="1"/>
    <row r="121" ht="19.899999999999999" customHeight="1"/>
    <row r="122" ht="19.899999999999999" customHeight="1"/>
    <row r="123" ht="19.899999999999999" customHeight="1"/>
    <row r="124" ht="19.899999999999999" customHeight="1"/>
    <row r="125" ht="19.899999999999999" customHeight="1"/>
    <row r="126" ht="19.899999999999999" customHeight="1"/>
    <row r="127" ht="19.899999999999999" customHeight="1"/>
    <row r="128" ht="19.899999999999999" customHeight="1"/>
    <row r="129" ht="19.899999999999999" customHeight="1"/>
    <row r="130" ht="19.899999999999999" customHeight="1"/>
    <row r="131" ht="19.899999999999999" customHeight="1"/>
    <row r="132" ht="19.899999999999999" customHeight="1"/>
    <row r="133" ht="19.899999999999999" customHeight="1"/>
    <row r="134" ht="19.899999999999999" customHeight="1"/>
    <row r="135" ht="19.899999999999999" customHeight="1"/>
    <row r="136" ht="19.899999999999999" customHeight="1"/>
    <row r="137" ht="19.899999999999999" customHeight="1"/>
    <row r="138" ht="19.899999999999999" customHeight="1"/>
    <row r="139" ht="19.899999999999999" customHeight="1"/>
    <row r="140" ht="19.899999999999999" customHeight="1"/>
    <row r="141" ht="19.899999999999999" customHeight="1"/>
    <row r="142" ht="19.899999999999999" customHeight="1"/>
    <row r="143" ht="19.899999999999999" customHeight="1"/>
    <row r="144" ht="19.899999999999999" customHeight="1"/>
    <row r="145" ht="19.899999999999999" customHeight="1"/>
    <row r="146" ht="19.899999999999999" customHeight="1"/>
    <row r="147" ht="19.899999999999999" customHeight="1"/>
    <row r="148" ht="19.899999999999999" customHeight="1"/>
    <row r="149" ht="19.899999999999999" customHeight="1"/>
  </sheetData>
  <mergeCells count="11">
    <mergeCell ref="A1:M1"/>
    <mergeCell ref="A2:M2"/>
    <mergeCell ref="A3:M3"/>
    <mergeCell ref="A4:M4"/>
    <mergeCell ref="A5:M5"/>
    <mergeCell ref="A58:C58"/>
    <mergeCell ref="A6:A8"/>
    <mergeCell ref="B6:B8"/>
    <mergeCell ref="M6:M8"/>
    <mergeCell ref="K6:L8"/>
    <mergeCell ref="C6:J7"/>
  </mergeCells>
  <pageMargins left="0.39370078740157499" right="0.196850393700787" top="0.78740157480314998" bottom="0.78740157480314998" header="0.511811023622047" footer="0.511811023622047"/>
  <pageSetup paperSize="5" scale="75" orientation="portrait" r:id="rId1"/>
  <ignoredErrors>
    <ignoredError sqref="A9:A27 A30 A54 A49:A51 A33:A42" numberStoredAsText="1"/>
    <ignoredError sqref="G33 I10 E10 E21:F21 E56 I21 I49" 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tabColor theme="6" tint="-0.249977111117893"/>
  </sheetPr>
  <dimension ref="A1:U38"/>
  <sheetViews>
    <sheetView showGridLines="0" showZeros="0" zoomScale="80" zoomScaleNormal="80" workbookViewId="0">
      <selection activeCell="B1" sqref="A1:M32"/>
    </sheetView>
  </sheetViews>
  <sheetFormatPr baseColWidth="10" defaultColWidth="11.42578125" defaultRowHeight="12.75"/>
  <cols>
    <col min="1" max="1" width="2.85546875" style="4" customWidth="1"/>
    <col min="2" max="2" width="29.85546875" style="4" customWidth="1"/>
    <col min="3" max="3" width="12.7109375" style="4" customWidth="1"/>
    <col min="4" max="4" width="12" style="4" hidden="1" customWidth="1"/>
    <col min="5" max="5" width="12.7109375" style="4" customWidth="1"/>
    <col min="6" max="6" width="11.42578125" style="4" customWidth="1"/>
    <col min="7" max="7" width="13.85546875" style="4" customWidth="1"/>
    <col min="8" max="8" width="15.28515625" style="4" customWidth="1"/>
    <col min="9" max="9" width="12.85546875" style="65" customWidth="1"/>
    <col min="10" max="10" width="13.42578125" style="4" customWidth="1"/>
    <col min="11" max="11" width="11" style="4" customWidth="1"/>
    <col min="12" max="12" width="11.28515625" style="4" hidden="1" customWidth="1"/>
    <col min="13" max="13" width="6.85546875" style="252" customWidth="1"/>
    <col min="14" max="14" width="0.140625" hidden="1" customWidth="1"/>
    <col min="15" max="15" width="0.28515625" customWidth="1"/>
    <col min="16" max="16" width="17.85546875" bestFit="1" customWidth="1"/>
    <col min="17" max="17" width="22.28515625" customWidth="1"/>
    <col min="18" max="18" width="12.28515625" customWidth="1"/>
    <col min="21" max="21" width="13.28515625" customWidth="1"/>
  </cols>
  <sheetData>
    <row r="1" spans="1:19" ht="15.75">
      <c r="A1" s="6"/>
      <c r="B1" s="677" t="s">
        <v>59</v>
      </c>
      <c r="C1" s="677"/>
      <c r="D1" s="677"/>
      <c r="E1" s="677"/>
      <c r="F1" s="677"/>
      <c r="G1" s="677"/>
      <c r="H1" s="677"/>
      <c r="I1" s="677"/>
      <c r="J1" s="677"/>
      <c r="K1" s="677"/>
      <c r="L1" s="677"/>
      <c r="M1" s="677"/>
    </row>
    <row r="2" spans="1:19" ht="15.75">
      <c r="A2" s="6"/>
      <c r="B2" s="677" t="s">
        <v>60</v>
      </c>
      <c r="C2" s="677"/>
      <c r="D2" s="677"/>
      <c r="E2" s="677"/>
      <c r="F2" s="677"/>
      <c r="G2" s="677"/>
      <c r="H2" s="677"/>
      <c r="I2" s="677"/>
      <c r="J2" s="677"/>
      <c r="K2" s="677"/>
      <c r="L2" s="677"/>
      <c r="M2" s="677"/>
      <c r="N2" s="9"/>
    </row>
    <row r="3" spans="1:19" ht="16.5" customHeight="1">
      <c r="A3" s="678" t="s">
        <v>469</v>
      </c>
      <c r="B3" s="678"/>
      <c r="C3" s="678"/>
      <c r="D3" s="678"/>
      <c r="E3" s="678"/>
      <c r="F3" s="678"/>
      <c r="G3" s="678"/>
      <c r="H3" s="678"/>
      <c r="I3" s="678"/>
      <c r="J3" s="678"/>
      <c r="K3" s="678"/>
      <c r="L3" s="678"/>
      <c r="M3" s="678"/>
    </row>
    <row r="4" spans="1:19" ht="19.5" customHeight="1">
      <c r="A4" s="777" t="s">
        <v>540</v>
      </c>
      <c r="B4" s="777"/>
      <c r="C4" s="777"/>
      <c r="D4" s="777"/>
      <c r="E4" s="777"/>
      <c r="F4" s="777"/>
      <c r="G4" s="777"/>
      <c r="H4" s="777"/>
      <c r="I4" s="777"/>
      <c r="J4" s="777"/>
      <c r="K4" s="777"/>
      <c r="L4" s="777"/>
      <c r="M4" s="777"/>
    </row>
    <row r="5" spans="1:19" ht="6.75" customHeight="1">
      <c r="A5"/>
      <c r="B5"/>
      <c r="C5"/>
      <c r="D5"/>
      <c r="E5"/>
      <c r="F5"/>
      <c r="G5"/>
      <c r="H5" t="s">
        <v>12</v>
      </c>
      <c r="I5" s="1"/>
      <c r="J5"/>
      <c r="K5"/>
      <c r="L5"/>
      <c r="M5" s="3"/>
    </row>
    <row r="6" spans="1:19" ht="24.95" customHeight="1">
      <c r="A6" s="774" t="s">
        <v>470</v>
      </c>
      <c r="B6" s="670" t="s">
        <v>0</v>
      </c>
      <c r="C6" s="778" t="s">
        <v>50</v>
      </c>
      <c r="D6" s="685"/>
      <c r="E6" s="685"/>
      <c r="F6" s="685"/>
      <c r="G6" s="685"/>
      <c r="H6" s="685"/>
      <c r="I6" s="685"/>
      <c r="J6" s="779"/>
      <c r="K6" s="775" t="s">
        <v>471</v>
      </c>
      <c r="L6" s="774"/>
      <c r="M6" s="775" t="s">
        <v>534</v>
      </c>
    </row>
    <row r="7" spans="1:19" ht="24.95" customHeight="1">
      <c r="A7" s="719"/>
      <c r="B7" s="671"/>
      <c r="C7" s="68" t="s">
        <v>2</v>
      </c>
      <c r="D7" s="559" t="s">
        <v>529</v>
      </c>
      <c r="E7" s="69" t="s">
        <v>3</v>
      </c>
      <c r="F7" s="70" t="s">
        <v>25</v>
      </c>
      <c r="G7" s="71" t="s">
        <v>65</v>
      </c>
      <c r="H7" s="66" t="s">
        <v>44</v>
      </c>
      <c r="I7" s="72" t="s">
        <v>48</v>
      </c>
      <c r="J7" s="67" t="s">
        <v>45</v>
      </c>
      <c r="K7" s="776"/>
      <c r="L7" s="719"/>
      <c r="M7" s="776"/>
    </row>
    <row r="8" spans="1:19" ht="15" customHeight="1">
      <c r="A8" s="73"/>
      <c r="B8" s="74"/>
      <c r="C8" s="75"/>
      <c r="D8" s="75"/>
      <c r="E8" s="76"/>
      <c r="F8" s="77"/>
      <c r="G8" s="76"/>
      <c r="H8" s="78"/>
      <c r="I8" s="79"/>
      <c r="J8" s="76"/>
      <c r="K8" s="76"/>
      <c r="L8" s="76"/>
      <c r="M8" s="110"/>
    </row>
    <row r="9" spans="1:19" ht="24.95" customHeight="1">
      <c r="A9" s="80"/>
      <c r="B9" s="81" t="s">
        <v>472</v>
      </c>
      <c r="C9" s="82">
        <f>+C11+C21+C29</f>
        <v>141094806</v>
      </c>
      <c r="D9" s="581">
        <f>+D11+D21+D29</f>
        <v>-637113</v>
      </c>
      <c r="E9" s="82">
        <f>+E11+E21+E29</f>
        <v>140457693</v>
      </c>
      <c r="F9" s="514">
        <f t="shared" ref="F9" si="0">+F11+F21+F29</f>
        <v>127888568</v>
      </c>
      <c r="G9" s="538">
        <f>G11+G21+G29</f>
        <v>10431178.01</v>
      </c>
      <c r="H9" s="82">
        <f>+G9+O9</f>
        <v>110834293.72</v>
      </c>
      <c r="I9" s="82">
        <f>+I11+I21+I29</f>
        <v>94335535.75999999</v>
      </c>
      <c r="J9" s="82">
        <f>+J11+J21+J29</f>
        <v>104430742.75</v>
      </c>
      <c r="K9" s="82">
        <f>F9-H9</f>
        <v>17054274.280000001</v>
      </c>
      <c r="L9" s="93">
        <f>+E9-H9</f>
        <v>29623399.280000001</v>
      </c>
      <c r="M9" s="510">
        <f>+H9/F9*100</f>
        <v>86.664739040631062</v>
      </c>
      <c r="O9" s="111">
        <f>100399270.21+168.5+3134+90+453</f>
        <v>100403115.70999999</v>
      </c>
      <c r="P9" s="661" t="s">
        <v>12</v>
      </c>
      <c r="Q9" s="112"/>
      <c r="R9" s="537" t="s">
        <v>12</v>
      </c>
      <c r="S9" s="1"/>
    </row>
    <row r="10" spans="1:19" ht="24.95" customHeight="1">
      <c r="A10" s="80"/>
      <c r="B10" s="84"/>
      <c r="C10" s="83"/>
      <c r="D10" s="83"/>
      <c r="E10" s="82"/>
      <c r="F10" s="514"/>
      <c r="G10" s="538"/>
      <c r="H10" s="82"/>
      <c r="I10" s="555"/>
      <c r="J10" s="555"/>
      <c r="K10" s="83"/>
      <c r="L10" s="84"/>
      <c r="M10" s="511"/>
      <c r="O10" s="9"/>
      <c r="P10" t="s">
        <v>12</v>
      </c>
    </row>
    <row r="11" spans="1:19" ht="24.95" customHeight="1">
      <c r="A11" s="85">
        <v>1</v>
      </c>
      <c r="B11" s="86" t="s">
        <v>52</v>
      </c>
      <c r="C11" s="82">
        <f>SUM(C13:C20)</f>
        <v>52074126</v>
      </c>
      <c r="D11" s="581">
        <f>+D13+D17</f>
        <v>-442825</v>
      </c>
      <c r="E11" s="82">
        <f>SUM(E13:E19)</f>
        <v>54797237</v>
      </c>
      <c r="F11" s="514">
        <f>SUM(F13:F19)</f>
        <v>50541516</v>
      </c>
      <c r="G11" s="538">
        <f>SUM(G13:G19)</f>
        <v>4097325.12</v>
      </c>
      <c r="H11" s="82">
        <f t="shared" ref="H11:H29" si="1">+G11+O11</f>
        <v>40009621.039999999</v>
      </c>
      <c r="I11" s="82">
        <f>SUM(I13:I19)</f>
        <v>34899019.039999992</v>
      </c>
      <c r="J11" s="82">
        <f>+J13+J15+J17+J19</f>
        <v>37065735.239999995</v>
      </c>
      <c r="K11" s="82">
        <f>+F11-H11</f>
        <v>10531894.960000001</v>
      </c>
      <c r="L11" s="93">
        <f>+E11-H11</f>
        <v>14787615.960000001</v>
      </c>
      <c r="M11" s="510">
        <f>+H11/F11*100</f>
        <v>79.161893442214918</v>
      </c>
      <c r="O11" s="111">
        <f>35912127.42+168.5</f>
        <v>35912295.920000002</v>
      </c>
      <c r="P11" s="1" t="s">
        <v>12</v>
      </c>
      <c r="Q11" s="53" t="s">
        <v>12</v>
      </c>
      <c r="R11" s="1"/>
    </row>
    <row r="12" spans="1:19" ht="24.95" customHeight="1">
      <c r="A12" s="80"/>
      <c r="B12" s="87"/>
      <c r="C12" s="88"/>
      <c r="D12" s="88"/>
      <c r="E12" s="88"/>
      <c r="F12" s="515"/>
      <c r="G12" s="539"/>
      <c r="H12" s="82">
        <f t="shared" si="1"/>
        <v>0</v>
      </c>
      <c r="I12" s="88"/>
      <c r="J12" s="88"/>
      <c r="K12" s="89"/>
      <c r="L12" s="91"/>
      <c r="M12" s="512"/>
      <c r="O12" s="9"/>
    </row>
    <row r="13" spans="1:19" ht="24.95" customHeight="1">
      <c r="A13" s="90" t="s">
        <v>12</v>
      </c>
      <c r="B13" s="87" t="s">
        <v>473</v>
      </c>
      <c r="C13" s="91">
        <v>13072514</v>
      </c>
      <c r="D13" s="580">
        <f>-4000-3500-124686-19200-147</f>
        <v>-151533</v>
      </c>
      <c r="E13" s="88">
        <v>12319049</v>
      </c>
      <c r="F13" s="515">
        <v>11148095</v>
      </c>
      <c r="G13" s="539">
        <v>1008166.57</v>
      </c>
      <c r="H13" s="658">
        <f t="shared" si="1"/>
        <v>9598781.4500000011</v>
      </c>
      <c r="I13" s="88">
        <v>8314208.8700000001</v>
      </c>
      <c r="J13" s="88">
        <v>9071274.6099999994</v>
      </c>
      <c r="K13" s="91">
        <f>+F13-H13</f>
        <v>1549313.5499999989</v>
      </c>
      <c r="L13" s="91">
        <f>+E13-H13</f>
        <v>2720267.5499999989</v>
      </c>
      <c r="M13" s="512">
        <f>+H13/F13*100</f>
        <v>86.102436784042496</v>
      </c>
      <c r="O13" s="9">
        <v>8590614.8800000008</v>
      </c>
      <c r="Q13" s="1"/>
      <c r="R13" s="1"/>
    </row>
    <row r="14" spans="1:19" ht="24.95" customHeight="1">
      <c r="A14" s="90"/>
      <c r="B14" s="87"/>
      <c r="C14" s="91"/>
      <c r="D14" s="91"/>
      <c r="E14" s="88"/>
      <c r="F14" s="515"/>
      <c r="G14" s="539"/>
      <c r="H14" s="658">
        <f t="shared" si="1"/>
        <v>0</v>
      </c>
      <c r="I14" s="88"/>
      <c r="J14" s="88"/>
      <c r="K14" s="91"/>
      <c r="L14" s="91"/>
      <c r="M14" s="512"/>
      <c r="O14" s="9"/>
    </row>
    <row r="15" spans="1:19" ht="24.95" customHeight="1">
      <c r="A15" s="90" t="s">
        <v>12</v>
      </c>
      <c r="B15" s="92" t="s">
        <v>474</v>
      </c>
      <c r="C15" s="91">
        <v>1063473</v>
      </c>
      <c r="D15" s="91"/>
      <c r="E15" s="88">
        <v>999673</v>
      </c>
      <c r="F15" s="515">
        <v>897571</v>
      </c>
      <c r="G15" s="539">
        <v>69016.429999999993</v>
      </c>
      <c r="H15" s="658">
        <f t="shared" si="1"/>
        <v>809977.0299999998</v>
      </c>
      <c r="I15" s="88">
        <v>697030.22</v>
      </c>
      <c r="J15" s="88">
        <v>779745.59</v>
      </c>
      <c r="K15" s="91">
        <f>+F15-H15</f>
        <v>87593.970000000205</v>
      </c>
      <c r="L15" s="91">
        <f>+E15-H15</f>
        <v>189695.9700000002</v>
      </c>
      <c r="M15" s="512">
        <f>+H15/F15*100</f>
        <v>90.240998205155904</v>
      </c>
      <c r="O15" s="9">
        <v>740960.59999999986</v>
      </c>
      <c r="Q15" s="1"/>
      <c r="R15" s="1"/>
    </row>
    <row r="16" spans="1:19" ht="24.95" customHeight="1">
      <c r="A16" s="90"/>
      <c r="B16" s="92"/>
      <c r="C16" s="91"/>
      <c r="D16" s="91"/>
      <c r="E16" s="88"/>
      <c r="F16" s="515"/>
      <c r="G16" s="539"/>
      <c r="H16" s="658">
        <f t="shared" si="1"/>
        <v>0</v>
      </c>
      <c r="I16" s="88"/>
      <c r="J16" s="88"/>
      <c r="K16" s="91">
        <f>+F16-H16</f>
        <v>0</v>
      </c>
      <c r="L16" s="91" t="s">
        <v>12</v>
      </c>
      <c r="M16" s="512"/>
      <c r="O16" s="9">
        <v>0</v>
      </c>
    </row>
    <row r="17" spans="1:21" ht="24.95" customHeight="1">
      <c r="A17" s="90" t="s">
        <v>12</v>
      </c>
      <c r="B17" s="87" t="s">
        <v>475</v>
      </c>
      <c r="C17" s="91">
        <v>35488163</v>
      </c>
      <c r="D17" s="580">
        <f>-15292-18000-7000-16000-160000-25000-8000-40000-2000</f>
        <v>-291292</v>
      </c>
      <c r="E17" s="88">
        <v>39318797</v>
      </c>
      <c r="F17" s="515">
        <v>36569767</v>
      </c>
      <c r="G17" s="539">
        <v>2928009.7</v>
      </c>
      <c r="H17" s="658">
        <f t="shared" si="1"/>
        <v>28485245.199999999</v>
      </c>
      <c r="I17" s="88">
        <v>24913023.789999999</v>
      </c>
      <c r="J17" s="88">
        <v>26191443.32</v>
      </c>
      <c r="K17" s="91">
        <f>+F17-H17</f>
        <v>8084521.8000000007</v>
      </c>
      <c r="L17" s="91">
        <f>+E17-H17</f>
        <v>10833551.800000001</v>
      </c>
      <c r="M17" s="512">
        <f>+H17/F17*100</f>
        <v>77.892881297274869</v>
      </c>
      <c r="O17" s="9">
        <f>25557067+168.5</f>
        <v>25557235.5</v>
      </c>
      <c r="P17" s="53">
        <f>28485245.2-H17</f>
        <v>0</v>
      </c>
      <c r="Q17" s="537"/>
      <c r="R17" s="1"/>
      <c r="S17" s="9"/>
      <c r="U17" s="9"/>
    </row>
    <row r="18" spans="1:21" ht="24.95" customHeight="1">
      <c r="A18" s="90"/>
      <c r="B18" s="87"/>
      <c r="C18" s="91"/>
      <c r="D18" s="91"/>
      <c r="E18" s="88"/>
      <c r="F18" s="515"/>
      <c r="G18" s="539"/>
      <c r="H18" s="658" t="s">
        <v>12</v>
      </c>
      <c r="I18" s="88"/>
      <c r="J18" s="88"/>
      <c r="K18" s="91" t="s">
        <v>12</v>
      </c>
      <c r="L18" s="91" t="s">
        <v>12</v>
      </c>
      <c r="M18" s="512"/>
      <c r="O18" s="9" t="s">
        <v>12</v>
      </c>
    </row>
    <row r="19" spans="1:21" ht="24.95" customHeight="1">
      <c r="A19" s="90" t="s">
        <v>12</v>
      </c>
      <c r="B19" s="92" t="s">
        <v>476</v>
      </c>
      <c r="C19" s="91">
        <v>2449976</v>
      </c>
      <c r="D19" s="91"/>
      <c r="E19" s="88">
        <v>2159718</v>
      </c>
      <c r="F19" s="515">
        <v>1926083</v>
      </c>
      <c r="G19" s="539">
        <v>92132.42</v>
      </c>
      <c r="H19" s="658">
        <f t="shared" si="1"/>
        <v>1115616.3599999999</v>
      </c>
      <c r="I19" s="88">
        <v>974756.16</v>
      </c>
      <c r="J19" s="88">
        <v>1023271.72</v>
      </c>
      <c r="K19" s="91">
        <f>+F19-K2319</f>
        <v>1926083</v>
      </c>
      <c r="L19" s="91">
        <f>+E19-H19</f>
        <v>1044101.6400000001</v>
      </c>
      <c r="M19" s="512">
        <f>+H19/F19*100</f>
        <v>57.921510132221712</v>
      </c>
      <c r="O19" s="9">
        <v>1023483.94</v>
      </c>
      <c r="Q19" s="1"/>
    </row>
    <row r="20" spans="1:21" ht="24.95" customHeight="1">
      <c r="A20" s="90"/>
      <c r="B20" s="87"/>
      <c r="C20" s="91"/>
      <c r="D20" s="91"/>
      <c r="E20" s="88" t="s">
        <v>12</v>
      </c>
      <c r="F20" s="515"/>
      <c r="G20" s="539"/>
      <c r="H20" s="82">
        <f t="shared" si="1"/>
        <v>0</v>
      </c>
      <c r="I20" s="88"/>
      <c r="J20" s="88"/>
      <c r="K20" s="91">
        <f>+F20-H20</f>
        <v>0</v>
      </c>
      <c r="L20" s="91" t="s">
        <v>12</v>
      </c>
      <c r="M20" s="512"/>
      <c r="O20" s="9">
        <v>0</v>
      </c>
    </row>
    <row r="21" spans="1:21" ht="24.95" customHeight="1">
      <c r="A21" s="85">
        <v>2</v>
      </c>
      <c r="B21" s="86" t="s">
        <v>53</v>
      </c>
      <c r="C21" s="93">
        <f t="shared" ref="C21:G21" si="2">SUM(C23:C27)</f>
        <v>73122532</v>
      </c>
      <c r="D21" s="581">
        <f>+D23+D25+D27</f>
        <v>-160184</v>
      </c>
      <c r="E21" s="82">
        <f>SUM(E23:E27)</f>
        <v>71806632</v>
      </c>
      <c r="F21" s="514">
        <f t="shared" si="2"/>
        <v>64874880</v>
      </c>
      <c r="G21" s="538">
        <f t="shared" si="2"/>
        <v>5449037.2400000002</v>
      </c>
      <c r="H21" s="82">
        <f t="shared" si="1"/>
        <v>60388090.600000001</v>
      </c>
      <c r="I21" s="82">
        <f>SUM(I23:I27)</f>
        <v>50414623.349999994</v>
      </c>
      <c r="J21" s="82">
        <f>SUM(J23:J27)</f>
        <v>57500747.689999998</v>
      </c>
      <c r="K21" s="93">
        <f>+F21-H21</f>
        <v>4486789.3999999985</v>
      </c>
      <c r="L21" s="93">
        <f>+E21-H21</f>
        <v>11418541.399999999</v>
      </c>
      <c r="M21" s="510">
        <f>+H21/F21*100</f>
        <v>93.08393418222893</v>
      </c>
      <c r="O21" s="111">
        <f>54935919.36+3044+90</f>
        <v>54939053.359999999</v>
      </c>
    </row>
    <row r="22" spans="1:21" ht="24.95" customHeight="1">
      <c r="A22" s="94"/>
      <c r="B22" s="87"/>
      <c r="C22" s="91"/>
      <c r="D22" s="91"/>
      <c r="E22" s="88"/>
      <c r="F22" s="515"/>
      <c r="G22" s="659"/>
      <c r="H22" s="82">
        <f t="shared" si="1"/>
        <v>0</v>
      </c>
      <c r="I22" s="88"/>
      <c r="J22" s="88"/>
      <c r="K22" s="91">
        <f>+F22-H22</f>
        <v>0</v>
      </c>
      <c r="L22" s="91" t="s">
        <v>12</v>
      </c>
      <c r="M22" s="512" t="s">
        <v>12</v>
      </c>
      <c r="O22" s="9">
        <v>0</v>
      </c>
    </row>
    <row r="23" spans="1:21" ht="24.95" customHeight="1">
      <c r="A23" s="95" t="s">
        <v>12</v>
      </c>
      <c r="B23" s="87" t="s">
        <v>477</v>
      </c>
      <c r="C23" s="91">
        <v>3496882</v>
      </c>
      <c r="D23" s="580">
        <f>-4700-30623-9930</f>
        <v>-45253</v>
      </c>
      <c r="E23" s="88">
        <v>3313613</v>
      </c>
      <c r="F23" s="88">
        <v>3065097</v>
      </c>
      <c r="G23" s="660">
        <v>157387.92000000001</v>
      </c>
      <c r="H23" s="658">
        <f t="shared" si="1"/>
        <v>2372496.23</v>
      </c>
      <c r="I23" s="88">
        <v>216864.24</v>
      </c>
      <c r="J23" s="88">
        <v>1887142.06</v>
      </c>
      <c r="K23" s="91">
        <f>+F23-H23</f>
        <v>692600.77</v>
      </c>
      <c r="L23" s="91">
        <f>+E23-H23</f>
        <v>941116.77</v>
      </c>
      <c r="M23" s="512">
        <f>+H23/F17*100</f>
        <v>6.4875891333953533</v>
      </c>
      <c r="O23" s="9">
        <f>2214421.31+687</f>
        <v>2215108.31</v>
      </c>
      <c r="P23" s="661">
        <f>2372496.23-H23</f>
        <v>0</v>
      </c>
      <c r="Q23" s="1"/>
      <c r="R23" s="9"/>
    </row>
    <row r="24" spans="1:21" ht="24.95" customHeight="1">
      <c r="A24" s="95"/>
      <c r="B24" s="87"/>
      <c r="C24" s="91"/>
      <c r="D24" s="91"/>
      <c r="E24" s="88" t="s">
        <v>12</v>
      </c>
      <c r="F24" s="88"/>
      <c r="G24" s="660"/>
      <c r="H24" s="658">
        <f t="shared" si="1"/>
        <v>0</v>
      </c>
      <c r="I24" s="88"/>
      <c r="J24" s="88"/>
      <c r="K24" s="91" t="s">
        <v>12</v>
      </c>
      <c r="L24" s="91" t="s">
        <v>12</v>
      </c>
      <c r="M24" s="512"/>
      <c r="O24" s="9">
        <v>0</v>
      </c>
      <c r="R24" s="9"/>
    </row>
    <row r="25" spans="1:21" ht="24.95" customHeight="1">
      <c r="A25" s="95" t="s">
        <v>12</v>
      </c>
      <c r="B25" s="87" t="s">
        <v>478</v>
      </c>
      <c r="C25" s="91">
        <v>36159943</v>
      </c>
      <c r="D25" s="580">
        <f>-3200-2200-9000-7431-2300</f>
        <v>-24131</v>
      </c>
      <c r="E25" s="88">
        <v>35568782</v>
      </c>
      <c r="F25" s="88">
        <v>32025993</v>
      </c>
      <c r="G25" s="660">
        <v>2608708.77</v>
      </c>
      <c r="H25" s="658">
        <f t="shared" si="1"/>
        <v>29918192.899999999</v>
      </c>
      <c r="I25" s="88">
        <v>25853792.27</v>
      </c>
      <c r="J25" s="88">
        <v>28667661.780000001</v>
      </c>
      <c r="K25" s="91">
        <f>+F25-H25</f>
        <v>2107800.1000000015</v>
      </c>
      <c r="L25" s="91">
        <f>+E25-H25</f>
        <v>5650589.1000000015</v>
      </c>
      <c r="M25" s="512">
        <f>+H25/F25*100</f>
        <v>93.418470740313964</v>
      </c>
      <c r="O25" s="9">
        <f>27307127.13+2357</f>
        <v>27309484.129999999</v>
      </c>
      <c r="P25" s="53">
        <f>29918192.9-H25</f>
        <v>0</v>
      </c>
      <c r="Q25" s="9"/>
      <c r="R25" s="9"/>
    </row>
    <row r="26" spans="1:21" ht="24.95" customHeight="1">
      <c r="A26" s="95"/>
      <c r="B26" s="87"/>
      <c r="C26" s="91"/>
      <c r="D26" s="91"/>
      <c r="E26" s="88"/>
      <c r="F26" s="88"/>
      <c r="G26" s="660"/>
      <c r="H26" s="658">
        <f t="shared" si="1"/>
        <v>0</v>
      </c>
      <c r="I26" s="88"/>
      <c r="J26" s="88"/>
      <c r="K26" s="91" t="s">
        <v>12</v>
      </c>
      <c r="L26" s="91" t="e">
        <f>+#REF!-H26</f>
        <v>#REF!</v>
      </c>
      <c r="M26" s="512"/>
      <c r="O26" s="9">
        <v>0</v>
      </c>
      <c r="R26" s="9"/>
    </row>
    <row r="27" spans="1:21" ht="24.95" customHeight="1">
      <c r="A27" s="95" t="s">
        <v>12</v>
      </c>
      <c r="B27" s="87" t="s">
        <v>479</v>
      </c>
      <c r="C27" s="91">
        <v>33465707</v>
      </c>
      <c r="D27" s="580">
        <f>-60000-4000-20000-6800</f>
        <v>-90800</v>
      </c>
      <c r="E27" s="88">
        <v>32924237</v>
      </c>
      <c r="F27" s="88">
        <v>29783790</v>
      </c>
      <c r="G27" s="660">
        <v>2682940.5499999998</v>
      </c>
      <c r="H27" s="658">
        <f t="shared" si="1"/>
        <v>28097401.470000003</v>
      </c>
      <c r="I27" s="88">
        <v>24343966.84</v>
      </c>
      <c r="J27" s="88">
        <v>26945943.850000001</v>
      </c>
      <c r="K27" s="91">
        <f>+F27-H27</f>
        <v>1686388.5299999975</v>
      </c>
      <c r="L27" s="91">
        <f>+E27-H27</f>
        <v>4826835.5299999975</v>
      </c>
      <c r="M27" s="512">
        <f>+H27/F27*100</f>
        <v>94.337898131836155</v>
      </c>
      <c r="O27" s="9">
        <f>25414370.92+90</f>
        <v>25414460.920000002</v>
      </c>
      <c r="P27" s="9">
        <f>28097401.47-H27</f>
        <v>0</v>
      </c>
      <c r="Q27" s="1"/>
    </row>
    <row r="28" spans="1:21" ht="24.95" customHeight="1">
      <c r="A28" s="96"/>
      <c r="B28" s="87"/>
      <c r="C28" s="91"/>
      <c r="D28" s="91"/>
      <c r="E28" s="88"/>
      <c r="F28" s="515"/>
      <c r="G28" s="539"/>
      <c r="H28" s="82">
        <f t="shared" si="1"/>
        <v>0</v>
      </c>
      <c r="I28" s="88"/>
      <c r="J28" s="88"/>
      <c r="K28" s="91">
        <f>+F28-H28</f>
        <v>0</v>
      </c>
      <c r="L28" s="91" t="s">
        <v>12</v>
      </c>
      <c r="M28" s="512" t="s">
        <v>12</v>
      </c>
      <c r="O28" s="9">
        <v>0</v>
      </c>
    </row>
    <row r="29" spans="1:21" ht="24.95" customHeight="1">
      <c r="A29" s="97" t="s">
        <v>480</v>
      </c>
      <c r="B29" s="86" t="s">
        <v>481</v>
      </c>
      <c r="C29" s="93">
        <v>15898148</v>
      </c>
      <c r="D29" s="581">
        <f>-4700-8500-15763-5141</f>
        <v>-34104</v>
      </c>
      <c r="E29" s="82">
        <v>13853824</v>
      </c>
      <c r="F29" s="514">
        <v>12472172</v>
      </c>
      <c r="G29" s="538">
        <v>884815.65</v>
      </c>
      <c r="H29" s="82">
        <f t="shared" si="1"/>
        <v>10436583.08</v>
      </c>
      <c r="I29" s="82">
        <v>9021893.3699999992</v>
      </c>
      <c r="J29" s="82">
        <v>9864259.8200000003</v>
      </c>
      <c r="K29" s="93">
        <f>+F29-H29</f>
        <v>2035588.92</v>
      </c>
      <c r="L29" s="93">
        <f>+E29-H29</f>
        <v>3417240.92</v>
      </c>
      <c r="M29" s="510">
        <f>+H29/F29*100</f>
        <v>83.6789540747193</v>
      </c>
      <c r="O29" s="111">
        <f>9551224.43+543</f>
        <v>9551767.4299999997</v>
      </c>
      <c r="P29" s="661" t="s">
        <v>12</v>
      </c>
      <c r="Q29">
        <f>224.43-156.43</f>
        <v>68</v>
      </c>
    </row>
    <row r="30" spans="1:21" ht="24.95" customHeight="1">
      <c r="A30" s="98"/>
      <c r="B30" s="99"/>
      <c r="C30" s="100"/>
      <c r="D30" s="100"/>
      <c r="E30" s="101" t="s">
        <v>12</v>
      </c>
      <c r="F30" s="102"/>
      <c r="G30" s="540"/>
      <c r="H30" s="540" t="s">
        <v>12</v>
      </c>
      <c r="I30" s="540"/>
      <c r="J30" s="540"/>
      <c r="K30" s="100"/>
      <c r="L30" s="100" t="s">
        <v>12</v>
      </c>
      <c r="M30" s="513" t="s">
        <v>12</v>
      </c>
      <c r="N30" t="s">
        <v>12</v>
      </c>
      <c r="O30" s="9" t="s">
        <v>12</v>
      </c>
    </row>
    <row r="31" spans="1:21" ht="11.25" customHeight="1">
      <c r="A31" s="103"/>
      <c r="B31" s="104"/>
      <c r="C31" s="105"/>
      <c r="D31" s="105"/>
      <c r="E31" s="105"/>
      <c r="F31" s="105"/>
      <c r="G31" s="105"/>
      <c r="H31" s="105" t="s">
        <v>12</v>
      </c>
      <c r="I31" s="105"/>
      <c r="J31" s="105"/>
      <c r="K31" s="105"/>
      <c r="L31" s="105" t="s">
        <v>12</v>
      </c>
      <c r="M31" s="3"/>
    </row>
    <row r="32" spans="1:21" ht="13.5" customHeight="1">
      <c r="A32" s="106"/>
      <c r="B32" s="672" t="s">
        <v>41</v>
      </c>
      <c r="C32" s="672"/>
      <c r="D32" s="104"/>
      <c r="E32" s="107"/>
      <c r="F32" s="107"/>
      <c r="G32" s="107"/>
      <c r="H32" s="108"/>
      <c r="I32" s="109"/>
      <c r="J32" s="108"/>
      <c r="K32" s="108"/>
      <c r="L32" s="113"/>
      <c r="M32" s="3"/>
    </row>
    <row r="35" spans="5:13">
      <c r="E35" s="65" t="s">
        <v>12</v>
      </c>
    </row>
    <row r="38" spans="5:13">
      <c r="M38" s="252" t="s">
        <v>12</v>
      </c>
    </row>
  </sheetData>
  <mergeCells count="10">
    <mergeCell ref="B1:M1"/>
    <mergeCell ref="B2:M2"/>
    <mergeCell ref="A3:M3"/>
    <mergeCell ref="A4:M4"/>
    <mergeCell ref="C6:J6"/>
    <mergeCell ref="B32:C32"/>
    <mergeCell ref="A6:A7"/>
    <mergeCell ref="B6:B7"/>
    <mergeCell ref="M6:M7"/>
    <mergeCell ref="K6:L7"/>
  </mergeCells>
  <pageMargins left="3.937007874015748E-2" right="0" top="0.55118110236220474" bottom="0.35433070866141736" header="0.51181102362204722" footer="0.98425196850393704"/>
  <pageSetup paperSize="5" scale="75" firstPageNumber="0" fitToWidth="0" fitToHeight="0" orientation="portrait" useFirstPageNumber="1" r:id="rId1"/>
  <headerFooter alignWithMargins="0">
    <oddFooter>&amp;R&amp;"Times New Roman,Normal"&amp;12</oddFooter>
  </headerFooter>
  <ignoredErrors>
    <ignoredError sqref="A2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17</vt:i4>
      </vt:variant>
    </vt:vector>
  </HeadingPairs>
  <TitlesOfParts>
    <vt:vector size="27" baseType="lpstr">
      <vt:lpstr>RESUMEN</vt:lpstr>
      <vt:lpstr>RECAUDACION ING</vt:lpstr>
      <vt:lpstr>INGRESOS</vt:lpstr>
      <vt:lpstr>FINANCIAMIENTO</vt:lpstr>
      <vt:lpstr>FLUJO</vt:lpstr>
      <vt:lpstr>BALANCE</vt:lpstr>
      <vt:lpstr>FUNCIONAMIENTO</vt:lpstr>
      <vt:lpstr>CTAS. FUNC.</vt:lpstr>
      <vt:lpstr>EST. PROG.</vt:lpstr>
      <vt:lpstr>PROYECTOS</vt:lpstr>
      <vt:lpstr>BALANCE!Área_de_impresión</vt:lpstr>
      <vt:lpstr>'CTAS. FUNC.'!Área_de_impresión</vt:lpstr>
      <vt:lpstr>'EST. PROG.'!Área_de_impresión</vt:lpstr>
      <vt:lpstr>FINANCIAMIENTO!Área_de_impresión</vt:lpstr>
      <vt:lpstr>FLUJO!Área_de_impresión</vt:lpstr>
      <vt:lpstr>INGRESOS!Área_de_impresión</vt:lpstr>
      <vt:lpstr>PROYECTOS!Área_de_impresión</vt:lpstr>
      <vt:lpstr>Excel_BuiltIn_Print_Area_7</vt:lpstr>
      <vt:lpstr>Excel_BuiltIn_Print_Area_7_1</vt:lpstr>
      <vt:lpstr>Excel_BuiltIn_Print_Area_7_1_1</vt:lpstr>
      <vt:lpstr>Excel_BuiltIn_Print_Area_9_1</vt:lpstr>
      <vt:lpstr>Excel_BuiltIn_Print_Titles_11</vt:lpstr>
      <vt:lpstr>Excel_BuiltIn_Print_Titles_7</vt:lpstr>
      <vt:lpstr>BALANCE!Títulos_a_imprimir</vt:lpstr>
      <vt:lpstr>FUNCIONAMIENTO!Títulos_a_imprimir</vt:lpstr>
      <vt:lpstr>PROYECTOS!Títulos_a_imprimir</vt:lpstr>
      <vt:lpstr>'RECAUDACION ING'!Títulos_a_imprimir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MAYRA CASTILLO</dc:creator>
  <cp:lastModifiedBy>Dell</cp:lastModifiedBy>
  <cp:lastPrinted>2025-12-03T15:24:43Z</cp:lastPrinted>
  <dcterms:created xsi:type="dcterms:W3CDTF">2010-01-07T20:52:00Z</dcterms:created>
  <dcterms:modified xsi:type="dcterms:W3CDTF">2025-12-10T18:27:32Z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8E3A71A146F34AD491BABD7658574AC4_12</vt:lpwstr>
  </property>
  <property fmtid="{D5CDD505-2E9C-101B-9397-08002B2CF9AE}" pid="3" name="KSOProductBuildVer">
    <vt:lpwstr>2058-12.2.0.22549</vt:lpwstr>
  </property>
</Properties>
</file>